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822"/>
  <workbookPr codeName="ThisWorkbook"/>
  <xr:revisionPtr xr6:coauthVersionLast="47" xr6:coauthVersionMax="47" documentId="13_ncr:1_{3332A254-332A-4DC1-BE21-CF9F4EE1E3BC}" revIDLastSave="0" xr10:uidLastSave="{00000000-0000-0000-0000-000000000000}"/>
  <bookViews>
    <workbookView tabRatio="756" xr2:uid="{00000000-000D-0000-FFFF-FFFF00000000}" windowHeight="10300" windowWidth="19420" xWindow="-110" yWindow="-110"/>
  </bookViews>
  <sheets>
    <sheet r:id="rId1" name="〇有形固定資産の明細" sheetId="29"/>
    <sheet r:id="rId2" name="〇有形固定資産に係る行政目的別の明細" sheetId="30"/>
    <sheet r:id="rId3" name="〇投資及び出資金の明細" sheetId="1"/>
    <sheet r:id="rId4" name="〇基金の明細" sheetId="2"/>
    <sheet r:id="rId5" name="〇貸付金の明細" sheetId="3"/>
    <sheet r:id="rId6" name="〇長期延滞債権の明細" sheetId="4"/>
    <sheet r:id="rId7" name="〇未収金の明細" sheetId="5"/>
    <sheet r:id="rId8" name="〇引当金の明細" sheetId="10"/>
    <sheet r:id="rId9" name="〇附属明細書_地方債等（借入先別）の明細" sheetId="32"/>
    <sheet r:id="rId10" name="借入先別の明細作成BD" sheetId="31"/>
    <sheet r:id="rId11" name="〇地方債等（利率別）の明細" sheetId="19"/>
    <sheet r:id="rId12" name="〇地方債等（返済期間別）の明細" sheetId="20"/>
    <sheet r:id="rId13" name="〇特定の契約情報が付された地方債等の概要" sheetId="21"/>
    <sheet r:id="rId14" name="〇補助金等の明細" sheetId="11"/>
    <sheet r:id="rId15" name="〇財源情報の明細" sheetId="22"/>
    <sheet r:id="rId16" name="〇財源の明細" sheetId="17"/>
    <sheet r:id="rId17" name="〇資金の明細" sheetId="13"/>
  </sheets>
  <definedNames>
    <definedName hidden="1" localSheetId="9" name="_xlnm._FilterDatabase">借入先別の明細作成BD!$B$6:$R$39</definedName>
    <definedName localSheetId="15" name="_xlnm.Print_Area">〇財源の明細!$A$1:$E$22</definedName>
    <definedName localSheetId="14" name="_xlnm.Print_Area">〇財源情報の明細!$A$1:$F$12</definedName>
    <definedName localSheetId="4" name="_xlnm.Print_Area">〇貸付金の明細!$A$1:$F$10</definedName>
    <definedName localSheetId="11" name="_xlnm.Print_Area">'〇地方債等（返済期間別）の明細'!$A$1:$J$6</definedName>
    <definedName localSheetId="10" name="_xlnm.Print_Area">'〇地方債等（利率別）の明細'!$A$1:$I$6</definedName>
    <definedName localSheetId="5" name="_xlnm.Print_Area">〇長期延滞債権の明細!$A$1:$C$29</definedName>
    <definedName localSheetId="2" name="_xlnm.Print_Area">〇投資及び出資金の明細!$A$1:$K$25</definedName>
    <definedName localSheetId="8" name="_xlnm.Print_Area">'〇附属明細書_地方債等（借入先別）の明細'!$A$1:$K$19</definedName>
    <definedName localSheetId="13" name="_xlnm.Print_Area">〇補助金等の明細!$A$1:$E$24</definedName>
    <definedName localSheetId="6" name="_xlnm.Print_Area">〇未収金の明細!$A$1:$C$26</definedName>
    <definedName localSheetId="1" name="_xlnm.Print_Titles">〇有形固定資産に係る行政目的別の明細!$1:$5</definedName>
    <definedName localSheetId="0" name="_xlnm.Print_Titles">〇有形固定資産の明細!$1:$5</definedName>
    <definedName name="X12Y02_13">〇財源情報の明細!#REF!</definedName>
    <definedName name="X12Y03_13">〇財源情報の明細!#REF!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7" l="1"/>
  <c r="D8" i="22" l="1"/>
  <c r="F12" i="22" l="1"/>
  <c r="E10" i="22"/>
  <c r="E11" i="22"/>
  <c r="C8" i="22"/>
  <c r="J35" i="31" l="1"/>
  <c r="P35" i="31"/>
  <c r="N35" i="31"/>
  <c r="K35" i="31"/>
  <c r="F11" i="10"/>
  <c r="F10" i="10"/>
  <c r="F9" i="10"/>
  <c r="F8" i="10"/>
  <c r="F7" i="10"/>
  <c r="C7" i="10"/>
  <c r="C9" i="5" l="1"/>
  <c r="A3" i="22" l="1"/>
  <c r="A3" i="30"/>
  <c r="A2" i="30"/>
  <c r="A3" i="29"/>
  <c r="A2" i="29"/>
  <c r="A3" i="13"/>
  <c r="A2" i="13"/>
  <c r="A3" i="17"/>
  <c r="A2" i="17"/>
  <c r="A2" i="22"/>
  <c r="A3" i="11"/>
  <c r="A2" i="11"/>
  <c r="A3" i="21"/>
  <c r="A2" i="21"/>
  <c r="A3" i="20"/>
  <c r="A2" i="20"/>
  <c r="A3" i="19"/>
  <c r="A2" i="19"/>
  <c r="A3" i="32"/>
  <c r="A2" i="32"/>
  <c r="A3" i="10"/>
  <c r="A2" i="10"/>
  <c r="A3" i="5"/>
  <c r="A2" i="5"/>
  <c r="A3" i="4"/>
  <c r="A2" i="4"/>
  <c r="A3" i="3"/>
  <c r="A2" i="3"/>
  <c r="A3" i="2"/>
  <c r="A2" i="2"/>
  <c r="G14" i="1" l="1"/>
  <c r="G13" i="1" l="1"/>
  <c r="E14" i="1" l="1"/>
  <c r="B25" i="1" l="1"/>
  <c r="J25" i="1" s="1"/>
  <c r="C25" i="1"/>
  <c r="D25" i="1"/>
  <c r="F25" i="1"/>
  <c r="E9" i="22" l="1"/>
  <c r="E8" i="22"/>
  <c r="D9" i="11"/>
  <c r="E12" i="22" l="1"/>
  <c r="D17" i="32"/>
  <c r="D14" i="32"/>
  <c r="D10" i="32"/>
  <c r="C17" i="32"/>
  <c r="C14" i="32"/>
  <c r="C10" i="32"/>
  <c r="K17" i="32"/>
  <c r="K14" i="32"/>
  <c r="K10" i="32"/>
  <c r="H17" i="32"/>
  <c r="G17" i="32"/>
  <c r="F17" i="32"/>
  <c r="E17" i="32"/>
  <c r="H10" i="32"/>
  <c r="G10" i="32"/>
  <c r="F10" i="32"/>
  <c r="E10" i="32"/>
  <c r="M14" i="32" l="1"/>
  <c r="B10" i="32"/>
  <c r="M10" i="32" s="1"/>
  <c r="B17" i="32"/>
  <c r="M17" i="32" s="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8" i="31"/>
  <c r="G9" i="31"/>
  <c r="G7" i="31"/>
  <c r="E39" i="31"/>
  <c r="F14" i="31" l="1"/>
  <c r="P14" i="31" s="1"/>
  <c r="C12" i="32" s="1"/>
  <c r="F22" i="31"/>
  <c r="P22" i="31" s="1"/>
  <c r="F30" i="31"/>
  <c r="P30" i="31" s="1"/>
  <c r="F38" i="31"/>
  <c r="P38" i="31" s="1"/>
  <c r="F7" i="31"/>
  <c r="F15" i="31"/>
  <c r="P15" i="31" s="1"/>
  <c r="F23" i="31"/>
  <c r="P23" i="31" s="1"/>
  <c r="F31" i="31"/>
  <c r="P31" i="31" s="1"/>
  <c r="C15" i="32" s="1"/>
  <c r="F8" i="31"/>
  <c r="P8" i="31" s="1"/>
  <c r="F16" i="31"/>
  <c r="P16" i="31" s="1"/>
  <c r="F24" i="31"/>
  <c r="P24" i="31" s="1"/>
  <c r="F32" i="31"/>
  <c r="P32" i="31" s="1"/>
  <c r="F13" i="31"/>
  <c r="P13" i="31" s="1"/>
  <c r="C11" i="32" s="1"/>
  <c r="F29" i="31"/>
  <c r="P29" i="31" s="1"/>
  <c r="C16" i="32" s="1"/>
  <c r="F9" i="31"/>
  <c r="P9" i="31" s="1"/>
  <c r="C9" i="32" s="1"/>
  <c r="F17" i="31"/>
  <c r="P17" i="31" s="1"/>
  <c r="F25" i="31"/>
  <c r="P25" i="31" s="1"/>
  <c r="F33" i="31"/>
  <c r="P33" i="31" s="1"/>
  <c r="F10" i="31"/>
  <c r="P10" i="31" s="1"/>
  <c r="F18" i="31"/>
  <c r="P18" i="31" s="1"/>
  <c r="F26" i="31"/>
  <c r="P26" i="31" s="1"/>
  <c r="F34" i="31"/>
  <c r="P34" i="31" s="1"/>
  <c r="P4" i="31"/>
  <c r="F21" i="31"/>
  <c r="P21" i="31" s="1"/>
  <c r="F37" i="31"/>
  <c r="P37" i="31" s="1"/>
  <c r="F11" i="31"/>
  <c r="P11" i="31" s="1"/>
  <c r="F19" i="31"/>
  <c r="P19" i="31" s="1"/>
  <c r="F27" i="31"/>
  <c r="P27" i="31" s="1"/>
  <c r="F35" i="31"/>
  <c r="F12" i="31"/>
  <c r="P12" i="31" s="1"/>
  <c r="C13" i="32" s="1"/>
  <c r="F20" i="31"/>
  <c r="P20" i="31" s="1"/>
  <c r="F28" i="31"/>
  <c r="P28" i="31" s="1"/>
  <c r="F36" i="31"/>
  <c r="P36" i="31" s="1"/>
  <c r="G39" i="31"/>
  <c r="C18" i="32" l="1"/>
  <c r="P7" i="31"/>
  <c r="F39" i="31"/>
  <c r="H14" i="31"/>
  <c r="O14" i="31" s="1"/>
  <c r="D12" i="32" s="1"/>
  <c r="H22" i="31"/>
  <c r="O22" i="31" s="1"/>
  <c r="H30" i="31"/>
  <c r="O30" i="31" s="1"/>
  <c r="H38" i="31"/>
  <c r="O38" i="31" s="1"/>
  <c r="H15" i="31"/>
  <c r="O15" i="31" s="1"/>
  <c r="H23" i="31"/>
  <c r="O23" i="31" s="1"/>
  <c r="H31" i="31"/>
  <c r="O31" i="31" s="1"/>
  <c r="D15" i="32" s="1"/>
  <c r="H8" i="31"/>
  <c r="H16" i="31"/>
  <c r="O16" i="31" s="1"/>
  <c r="H24" i="31"/>
  <c r="O24" i="31" s="1"/>
  <c r="H32" i="31"/>
  <c r="O32" i="31" s="1"/>
  <c r="H21" i="31"/>
  <c r="O21" i="31" s="1"/>
  <c r="H9" i="31"/>
  <c r="H17" i="31"/>
  <c r="O17" i="31" s="1"/>
  <c r="H25" i="31"/>
  <c r="O25" i="31" s="1"/>
  <c r="H33" i="31"/>
  <c r="O33" i="31" s="1"/>
  <c r="H13" i="31"/>
  <c r="H10" i="31"/>
  <c r="H18" i="31"/>
  <c r="O18" i="31" s="1"/>
  <c r="H26" i="31"/>
  <c r="O26" i="31" s="1"/>
  <c r="H34" i="31"/>
  <c r="O34" i="31" s="1"/>
  <c r="H29" i="31"/>
  <c r="O29" i="31" s="1"/>
  <c r="D16" i="32" s="1"/>
  <c r="H37" i="31"/>
  <c r="O37" i="31" s="1"/>
  <c r="H11" i="31"/>
  <c r="H19" i="31"/>
  <c r="O19" i="31" s="1"/>
  <c r="H27" i="31"/>
  <c r="O27" i="31" s="1"/>
  <c r="H35" i="31"/>
  <c r="H12" i="31"/>
  <c r="H20" i="31"/>
  <c r="O20" i="31" s="1"/>
  <c r="H28" i="31"/>
  <c r="O28" i="31" s="1"/>
  <c r="H36" i="31"/>
  <c r="O36" i="31" s="1"/>
  <c r="H7" i="31"/>
  <c r="A6" i="19"/>
  <c r="O9" i="31" l="1"/>
  <c r="D9" i="32" s="1"/>
  <c r="J9" i="31"/>
  <c r="O11" i="31"/>
  <c r="J11" i="31"/>
  <c r="O10" i="31"/>
  <c r="J10" i="31"/>
  <c r="O8" i="31"/>
  <c r="J8" i="31"/>
  <c r="O13" i="31"/>
  <c r="D11" i="32" s="1"/>
  <c r="J13" i="31"/>
  <c r="O12" i="31"/>
  <c r="D13" i="32" s="1"/>
  <c r="J12" i="31"/>
  <c r="L35" i="31"/>
  <c r="C8" i="32"/>
  <c r="C19" i="32" s="1"/>
  <c r="C20" i="32" s="1"/>
  <c r="P40" i="31"/>
  <c r="O35" i="31"/>
  <c r="D18" i="32"/>
  <c r="O7" i="31"/>
  <c r="D8" i="32" s="1"/>
  <c r="H39" i="31"/>
  <c r="O39" i="31" l="1"/>
  <c r="D19" i="32"/>
  <c r="D20" i="32" l="1"/>
  <c r="E13" i="1"/>
  <c r="E12" i="1"/>
  <c r="J24" i="1" l="1"/>
  <c r="J23" i="1"/>
  <c r="J22" i="1"/>
  <c r="J21" i="1"/>
  <c r="J20" i="1"/>
  <c r="F9" i="3"/>
  <c r="F8" i="3"/>
  <c r="F10" i="3" s="1"/>
  <c r="E20" i="17" l="1"/>
  <c r="E17" i="17"/>
  <c r="E14" i="17"/>
  <c r="B12" i="22"/>
  <c r="D23" i="11"/>
  <c r="D22" i="11" s="1"/>
  <c r="E21" i="17" l="1"/>
  <c r="E22" i="17" s="1"/>
  <c r="E12" i="10" l="1"/>
  <c r="D12" i="10"/>
  <c r="B12" i="10"/>
  <c r="B25" i="5"/>
  <c r="B22" i="5"/>
  <c r="B19" i="5"/>
  <c r="B12" i="5"/>
  <c r="B28" i="4"/>
  <c r="B25" i="4"/>
  <c r="B22" i="4"/>
  <c r="B19" i="4"/>
  <c r="B12" i="4"/>
  <c r="B29" i="4" l="1"/>
  <c r="B26" i="5"/>
  <c r="F12" i="10"/>
  <c r="C16" i="5" l="1"/>
  <c r="C27" i="4"/>
  <c r="C28" i="4" s="1"/>
  <c r="C24" i="4"/>
  <c r="C16" i="4"/>
  <c r="C18" i="4"/>
  <c r="C15" i="4"/>
  <c r="C21" i="4"/>
  <c r="C17" i="4"/>
  <c r="C25" i="4"/>
  <c r="C7" i="5"/>
  <c r="C11" i="5"/>
  <c r="C24" i="5"/>
  <c r="C21" i="5"/>
  <c r="C22" i="5" s="1"/>
  <c r="C8" i="5"/>
  <c r="C18" i="5"/>
  <c r="C17" i="5"/>
  <c r="C10" i="5"/>
  <c r="C14" i="5"/>
  <c r="C15" i="5"/>
  <c r="B9" i="13"/>
  <c r="C19" i="4" l="1"/>
  <c r="C22" i="4"/>
  <c r="C19" i="5"/>
  <c r="C25" i="5"/>
  <c r="C12" i="5"/>
  <c r="B10" i="3"/>
  <c r="B14" i="2"/>
  <c r="F7" i="2"/>
  <c r="F8" i="2"/>
  <c r="F9" i="2"/>
  <c r="F10" i="2"/>
  <c r="F11" i="2"/>
  <c r="F12" i="2"/>
  <c r="F13" i="2"/>
  <c r="F6" i="2"/>
  <c r="F14" i="2" l="1"/>
  <c r="G22" i="1" l="1"/>
  <c r="G21" i="1"/>
  <c r="G20" i="1"/>
  <c r="E24" i="1"/>
  <c r="E22" i="1"/>
  <c r="E21" i="1"/>
  <c r="E20" i="1"/>
  <c r="E23" i="1"/>
  <c r="E25" i="1" l="1"/>
  <c r="H24" i="1"/>
  <c r="H23" i="1"/>
  <c r="H21" i="1"/>
  <c r="H20" i="1"/>
  <c r="H22" i="1"/>
  <c r="H25" i="1" l="1"/>
  <c r="G15" i="1"/>
  <c r="E15" i="1"/>
  <c r="C16" i="1"/>
  <c r="D16" i="1"/>
  <c r="F16" i="1"/>
  <c r="B16" i="1"/>
  <c r="H14" i="1" l="1"/>
  <c r="H12" i="1"/>
  <c r="H13" i="1"/>
  <c r="H15" i="1"/>
  <c r="E16" i="1"/>
  <c r="H16" i="1" l="1"/>
  <c r="C8" i="4"/>
  <c r="C9" i="4"/>
  <c r="C10" i="4"/>
  <c r="C7" i="4"/>
  <c r="C11" i="4"/>
  <c r="C12" i="4" l="1"/>
  <c r="E13" i="32"/>
  <c r="J25" i="31"/>
  <c r="M25" i="31"/>
  <c r="E9" i="32"/>
  <c r="E11" i="32"/>
  <c r="L12" i="31"/>
  <c r="G13" i="32" s="1"/>
  <c r="M12" i="31"/>
  <c r="H13" i="32" s="1"/>
  <c r="N12" i="31"/>
  <c r="K13" i="32" s="1"/>
  <c r="L25" i="31"/>
  <c r="K25" i="31"/>
  <c r="K12" i="31"/>
  <c r="F13" i="32" s="1"/>
  <c r="J31" i="31"/>
  <c r="E15" i="32" s="1"/>
  <c r="J14" i="31"/>
  <c r="E12" i="32" s="1"/>
  <c r="J29" i="31"/>
  <c r="E16" i="32" s="1"/>
  <c r="N25" i="31"/>
  <c r="M29" i="31"/>
  <c r="H16" i="32" s="1"/>
  <c r="M28" i="31"/>
  <c r="M19" i="31"/>
  <c r="M33" i="31"/>
  <c r="M13" i="31"/>
  <c r="H11" i="32" s="1"/>
  <c r="M18" i="31"/>
  <c r="M36" i="31"/>
  <c r="M21" i="31"/>
  <c r="M9" i="31"/>
  <c r="H9" i="32" s="1"/>
  <c r="M26" i="31"/>
  <c r="M31" i="31"/>
  <c r="H15" i="32" s="1"/>
  <c r="M16" i="31"/>
  <c r="M20" i="31"/>
  <c r="M15" i="31"/>
  <c r="M11" i="31"/>
  <c r="M10" i="31"/>
  <c r="M27" i="31"/>
  <c r="M37" i="31"/>
  <c r="M23" i="31"/>
  <c r="M17" i="31"/>
  <c r="M22" i="31"/>
  <c r="M30" i="31"/>
  <c r="M14" i="31"/>
  <c r="H12" i="32" s="1"/>
  <c r="M38" i="31"/>
  <c r="M34" i="31"/>
  <c r="M8" i="31"/>
  <c r="M35" i="31"/>
  <c r="M32" i="31"/>
  <c r="M24" i="31"/>
  <c r="K18" i="31"/>
  <c r="K31" i="31"/>
  <c r="F15" i="32" s="1"/>
  <c r="K17" i="31"/>
  <c r="K15" i="31"/>
  <c r="K10" i="31"/>
  <c r="K32" i="31"/>
  <c r="K9" i="31"/>
  <c r="F9" i="32" s="1"/>
  <c r="K23" i="31"/>
  <c r="K30" i="31"/>
  <c r="K8" i="31"/>
  <c r="K29" i="31"/>
  <c r="F16" i="32" s="1"/>
  <c r="K13" i="31"/>
  <c r="F11" i="32" s="1"/>
  <c r="K28" i="31"/>
  <c r="K22" i="31"/>
  <c r="K26" i="31"/>
  <c r="K27" i="31"/>
  <c r="K24" i="31"/>
  <c r="K19" i="31"/>
  <c r="K33" i="31"/>
  <c r="K34" i="31"/>
  <c r="K36" i="31"/>
  <c r="K16" i="31"/>
  <c r="K37" i="31"/>
  <c r="K11" i="31"/>
  <c r="K21" i="31"/>
  <c r="K20" i="31"/>
  <c r="K14" i="31"/>
  <c r="F12" i="32" s="1"/>
  <c r="K38" i="31"/>
  <c r="J18" i="31"/>
  <c r="J17" i="31"/>
  <c r="J26" i="31"/>
  <c r="J19" i="31"/>
  <c r="J20" i="31"/>
  <c r="J32" i="31"/>
  <c r="J38" i="31"/>
  <c r="J15" i="31"/>
  <c r="J23" i="31"/>
  <c r="J30" i="31"/>
  <c r="J24" i="31"/>
  <c r="J22" i="31"/>
  <c r="J21" i="31"/>
  <c r="J27" i="31"/>
  <c r="J33" i="31"/>
  <c r="J34" i="31"/>
  <c r="J16" i="31"/>
  <c r="J36" i="31"/>
  <c r="J37" i="31"/>
  <c r="J28" i="31"/>
  <c r="L29" i="31"/>
  <c r="G16" i="32" s="1"/>
  <c r="L26" i="31"/>
  <c r="L32" i="31"/>
  <c r="L24" i="31"/>
  <c r="L28" i="31"/>
  <c r="L22" i="31"/>
  <c r="L13" i="31"/>
  <c r="G11" i="32" s="1"/>
  <c r="L33" i="31"/>
  <c r="L34" i="31"/>
  <c r="L36" i="31"/>
  <c r="L21" i="31"/>
  <c r="L8" i="31"/>
  <c r="L9" i="31"/>
  <c r="G9" i="32" s="1"/>
  <c r="L30" i="31"/>
  <c r="L31" i="31"/>
  <c r="G15" i="32" s="1"/>
  <c r="L20" i="31"/>
  <c r="L14" i="31"/>
  <c r="G12" i="32" s="1"/>
  <c r="L15" i="31"/>
  <c r="L37" i="31"/>
  <c r="L38" i="31"/>
  <c r="L23" i="31"/>
  <c r="L10" i="31"/>
  <c r="L18" i="31"/>
  <c r="L11" i="31"/>
  <c r="L27" i="31"/>
  <c r="L19" i="31"/>
  <c r="L16" i="31"/>
  <c r="L17" i="31"/>
  <c r="N22" i="31"/>
  <c r="N18" i="31"/>
  <c r="N36" i="31"/>
  <c r="N27" i="31"/>
  <c r="N26" i="31"/>
  <c r="K18" i="32" s="1"/>
  <c r="N33" i="31"/>
  <c r="N31" i="31"/>
  <c r="K15" i="32" s="1"/>
  <c r="N16" i="31"/>
  <c r="N20" i="31"/>
  <c r="N15" i="31"/>
  <c r="N11" i="31"/>
  <c r="N10" i="31"/>
  <c r="N29" i="31"/>
  <c r="K16" i="32" s="1"/>
  <c r="N23" i="31"/>
  <c r="N13" i="31"/>
  <c r="K11" i="32" s="1"/>
  <c r="N14" i="31"/>
  <c r="K12" i="32" s="1"/>
  <c r="N8" i="31"/>
  <c r="N38" i="31"/>
  <c r="N37" i="31"/>
  <c r="N32" i="31"/>
  <c r="N24" i="31"/>
  <c r="N19" i="31"/>
  <c r="N17" i="31"/>
  <c r="N28" i="31"/>
  <c r="N9" i="31"/>
  <c r="K9" i="32" s="1"/>
  <c r="N34" i="31"/>
  <c r="N21" i="31"/>
  <c r="N30" i="31"/>
  <c r="L7" i="31"/>
  <c r="N7" i="31"/>
  <c r="M7" i="31"/>
  <c r="H8" i="32" s="1"/>
  <c r="K7" i="31"/>
  <c r="J7" i="31"/>
  <c r="E8" i="32" s="1"/>
  <c r="K8" i="32" l="1"/>
  <c r="K19" i="32" s="1"/>
  <c r="K20" i="32" s="1"/>
  <c r="F18" i="32"/>
  <c r="G18" i="32"/>
  <c r="H18" i="32"/>
  <c r="H19" i="32" s="1"/>
  <c r="H20" i="32" s="1"/>
  <c r="L40" i="31"/>
  <c r="B11" i="32"/>
  <c r="M11" i="32" s="1"/>
  <c r="B12" i="32"/>
  <c r="M12" i="32" s="1"/>
  <c r="F8" i="32"/>
  <c r="B13" i="32"/>
  <c r="M13" i="32" s="1"/>
  <c r="E18" i="32"/>
  <c r="B9" i="32"/>
  <c r="M9" i="32" s="1"/>
  <c r="B15" i="32"/>
  <c r="M15" i="32" s="1"/>
  <c r="B16" i="32"/>
  <c r="M16" i="32" s="1"/>
  <c r="M40" i="31"/>
  <c r="N40" i="31"/>
  <c r="G8" i="32"/>
  <c r="J40" i="31"/>
  <c r="K40" i="31"/>
  <c r="F19" i="32" l="1"/>
  <c r="F20" i="32" s="1"/>
  <c r="G19" i="32"/>
  <c r="G20" i="32" s="1"/>
  <c r="B18" i="32"/>
  <c r="M18" i="32" s="1"/>
  <c r="E19" i="32"/>
  <c r="E20" i="32" s="1"/>
  <c r="B8" i="32"/>
  <c r="B19" i="32" l="1"/>
  <c r="B20" i="32" s="1"/>
  <c r="M8" i="32"/>
  <c r="C12" i="10" l="1"/>
  <c r="H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PMC</author>
    <author>勅使河原裕貴</author>
  </authors>
  <commentList>
    <comment ref="H6" authorId="0" shapeId="0" xr:uid="{7017D033-D6F9-4FEB-8B0B-05EACD6B46A4}">
      <text>
        <r>
          <rPr>
            <sz val="9"/>
            <color indexed="81"/>
            <rFont val="MS P ゴシック"/>
            <family val="3"/>
            <charset val="128"/>
          </rPr>
          <t xml:space="preserve">政府資金を除いた残高に対する、各区分の割合
</t>
        </r>
      </text>
    </comment>
    <comment ref="J35" authorId="1" shapeId="0" xr:uid="{3D6EDA78-FBE0-4F42-A526-1ABF8AC8F3E5}">
      <text>
        <r>
          <rPr>
            <sz val="9"/>
            <color indexed="81"/>
            <rFont val="MS P ゴシック"/>
            <family val="3"/>
            <charset val="128"/>
          </rPr>
          <t>合計値とズレ1があったため、当セルにて調整。</t>
        </r>
      </text>
    </comment>
    <comment ref="P35" authorId="1" shapeId="0" xr:uid="{05ED1DD1-F2E8-42CB-8635-918B17DCA503}">
      <text>
        <r>
          <rPr>
            <sz val="9"/>
            <color indexed="81"/>
            <rFont val="MS P ゴシック"/>
            <family val="3"/>
            <charset val="128"/>
          </rPr>
          <t>合計値とズレ1円があったため、当セルにて調整。</t>
        </r>
      </text>
    </comment>
  </commentList>
</comments>
</file>

<file path=xl/sharedStrings.xml><?xml version="1.0" encoding="utf-8"?>
<sst xmlns="http://schemas.openxmlformats.org/spreadsheetml/2006/main" count="723" uniqueCount="314">
  <si>
    <t>投資及び出資金の明細</t>
  </si>
  <si>
    <t>市場価格のあるもの</t>
  </si>
  <si>
    <t>銘柄名</t>
  </si>
  <si>
    <t>株数・口数など_x000D_
(A)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</si>
  <si>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</si>
  <si>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</si>
  <si>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</si>
  <si>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</si>
  <si>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</si>
  <si>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</si>
  <si>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</si>
  <si>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</si>
  <si>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</si>
  <si>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</si>
  <si>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</si>
  <si>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</si>
  <si>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</si>
  <si>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</si>
  <si>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</si>
  <si>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</si>
  <si>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</si>
  <si>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</si>
  <si>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</si>
  <si>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</si>
  <si>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合計_x000D_
(貸借対照表計上額)</t>
  </si>
  <si>
    <t>その他</t>
  </si>
  <si>
    <t>土地</t>
  </si>
  <si>
    <t>有価証券</t>
  </si>
  <si>
    <t>現金預金</t>
  </si>
  <si>
    <t>種類</t>
  </si>
  <si>
    <t>基金の明細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</si>
  <si>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</si>
  <si>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</si>
  <si>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</si>
  <si>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</si>
  <si>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</si>
  <si>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</si>
  <si>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貸付金の明細</t>
  </si>
  <si>
    <t>小計</t>
  </si>
  <si>
    <t>【貸付金】</t>
  </si>
  <si>
    <t>徴収不能引当金計上額</t>
  </si>
  <si>
    <t>長期延滞債権の明細</t>
  </si>
  <si>
    <t>未収金の明細</t>
  </si>
  <si>
    <t>　合計</t>
  </si>
  <si>
    <t>　その他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</si>
  <si>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</si>
  <si>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</si>
  <si>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</si>
  <si>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</si>
  <si>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</si>
  <si>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</si>
  <si>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</si>
  <si>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</si>
  <si>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</si>
  <si>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</si>
  <si>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</si>
  <si>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</si>
  <si>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</si>
  <si>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地方公募債</t>
  </si>
  <si>
    <t>その他の_x000D_
金融機関</t>
  </si>
  <si>
    <t>市中銀行</t>
  </si>
  <si>
    <t>地方公共団体_x000D_
金融機構</t>
  </si>
  <si>
    <t>政府資金</t>
  </si>
  <si>
    <t>地方債等残高</t>
  </si>
  <si>
    <t>地方債等（借入先別）の明細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</si>
  <si>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</si>
  <si>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</si>
  <si>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</si>
  <si>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</si>
  <si>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</si>
  <si>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</si>
  <si>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</si>
  <si>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地方債等（利率別）の明細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</si>
  <si>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</si>
  <si>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</si>
  <si>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</si>
  <si>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</si>
  <si>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</si>
  <si>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</si>
  <si>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</si>
  <si>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</si>
  <si>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</si>
  <si>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地方債等（返済期間別）の明細</t>
  </si>
  <si>
    <t>契約条項の概要</t>
  </si>
  <si>
    <t>特定の契約条項が_x000D_
付された地方債等残高</t>
  </si>
  <si>
    <t>特定の契約情報が付された地方債等の概要</t>
  </si>
  <si>
    <t>目的使用</t>
  </si>
  <si>
    <t>本年度末残高</t>
  </si>
  <si>
    <t>本年度減少額</t>
  </si>
  <si>
    <t>本年度増加額</t>
  </si>
  <si>
    <t>前年度末残高</t>
  </si>
  <si>
    <t>区分</t>
  </si>
  <si>
    <t>引当金の明細</t>
  </si>
  <si>
    <t>計</t>
  </si>
  <si>
    <t>他団体への公共施設等整備補助金等_x000D_
(所有外資産分)</t>
  </si>
  <si>
    <t>支出目的</t>
  </si>
  <si>
    <t>金額</t>
  </si>
  <si>
    <t>相手先</t>
  </si>
  <si>
    <t>名称</t>
  </si>
  <si>
    <t>補助金等の明細</t>
  </si>
  <si>
    <t>経常的_x000D_
補助金</t>
  </si>
  <si>
    <t>資本的_x000D_
補助金</t>
  </si>
  <si>
    <t>国県等補助金</t>
  </si>
  <si>
    <t>税収等</t>
  </si>
  <si>
    <t>財源の内容</t>
  </si>
  <si>
    <t>会計</t>
  </si>
  <si>
    <t>財源の明細</t>
  </si>
  <si>
    <t>資金の明細</t>
  </si>
  <si>
    <t>-</t>
    <phoneticPr fontId="4"/>
  </si>
  <si>
    <t>-</t>
    <phoneticPr fontId="4"/>
  </si>
  <si>
    <t>時価単価_x000D_
(B)</t>
    <phoneticPr fontId="4"/>
  </si>
  <si>
    <t>(単位：　円)</t>
    <rPh sb="5" eb="6">
      <t>エン</t>
    </rPh>
    <phoneticPr fontId="4"/>
  </si>
  <si>
    <t>清瀬都市開発株式会社</t>
    <rPh sb="0" eb="2">
      <t>キヨセ</t>
    </rPh>
    <rPh sb="2" eb="4">
      <t>トシ</t>
    </rPh>
    <rPh sb="4" eb="6">
      <t>カイハツ</t>
    </rPh>
    <rPh sb="6" eb="8">
      <t>カブシキ</t>
    </rPh>
    <rPh sb="8" eb="10">
      <t>カイシャ</t>
    </rPh>
    <phoneticPr fontId="2"/>
  </si>
  <si>
    <t>東京都農業信用基金協会出資金</t>
    <rPh sb="0" eb="3">
      <t>トウキョウト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2"/>
  </si>
  <si>
    <t>昭和病院企業団出資金</t>
    <rPh sb="0" eb="2">
      <t>ショウワ</t>
    </rPh>
    <rPh sb="2" eb="4">
      <t>ビョウイン</t>
    </rPh>
    <rPh sb="4" eb="6">
      <t>キギョウ</t>
    </rPh>
    <rPh sb="6" eb="7">
      <t>ダン</t>
    </rPh>
    <rPh sb="7" eb="10">
      <t>シュッシキン</t>
    </rPh>
    <phoneticPr fontId="2"/>
  </si>
  <si>
    <t>（財）暴力団追放運動推進都民センター出損金</t>
    <rPh sb="3" eb="6">
      <t>ボウリョクダン</t>
    </rPh>
    <rPh sb="6" eb="8">
      <t>ツイホウ</t>
    </rPh>
    <rPh sb="8" eb="10">
      <t>ウンドウ</t>
    </rPh>
    <rPh sb="10" eb="12">
      <t>スイシン</t>
    </rPh>
    <rPh sb="12" eb="14">
      <t>トミン</t>
    </rPh>
    <rPh sb="18" eb="19">
      <t>デ</t>
    </rPh>
    <rPh sb="19" eb="20">
      <t>ソン</t>
    </rPh>
    <rPh sb="20" eb="21">
      <t>カネ</t>
    </rPh>
    <phoneticPr fontId="2"/>
  </si>
  <si>
    <t>地方公営企業金融機構</t>
    <rPh sb="0" eb="2">
      <t>チホウ</t>
    </rPh>
    <rPh sb="2" eb="4">
      <t>コウエイ</t>
    </rPh>
    <rPh sb="4" eb="6">
      <t>キギョウ</t>
    </rPh>
    <rPh sb="6" eb="8">
      <t>キンユウ</t>
    </rPh>
    <rPh sb="8" eb="10">
      <t>キコウ</t>
    </rPh>
    <phoneticPr fontId="2"/>
  </si>
  <si>
    <t>清瀬市土地開発公社</t>
    <rPh sb="0" eb="3">
      <t>キヨセシ</t>
    </rPh>
    <rPh sb="3" eb="5">
      <t>トチ</t>
    </rPh>
    <rPh sb="5" eb="7">
      <t>カイハツ</t>
    </rPh>
    <rPh sb="7" eb="9">
      <t>コウシャ</t>
    </rPh>
    <phoneticPr fontId="2"/>
  </si>
  <si>
    <t>減債基金</t>
    <rPh sb="0" eb="2">
      <t>ゲンサイ</t>
    </rPh>
    <rPh sb="2" eb="4">
      <t>キキン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</si>
  <si>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</si>
  <si>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2"/>
  </si>
  <si>
    <t>緑地保全基金</t>
    <rPh sb="0" eb="2">
      <t>リョクチ</t>
    </rPh>
    <rPh sb="2" eb="4">
      <t>ホゼン</t>
    </rPh>
    <rPh sb="4" eb="6">
      <t>キキン</t>
    </rPh>
    <phoneticPr fontId="2"/>
  </si>
  <si>
    <t>社会福祉基金</t>
    <rPh sb="0" eb="2">
      <t>シャカイ</t>
    </rPh>
    <rPh sb="2" eb="4">
      <t>フクシ</t>
    </rPh>
    <rPh sb="4" eb="6">
      <t>キキン</t>
    </rPh>
    <phoneticPr fontId="2"/>
  </si>
  <si>
    <t>ふれあい福祉振興基金</t>
    <rPh sb="4" eb="6">
      <t>フクシ</t>
    </rPh>
    <rPh sb="6" eb="8">
      <t>シンコウ</t>
    </rPh>
    <rPh sb="8" eb="10">
      <t>キキン</t>
    </rPh>
    <phoneticPr fontId="2"/>
  </si>
  <si>
    <t>教育基金</t>
    <rPh sb="0" eb="2">
      <t>キョウイク</t>
    </rPh>
    <rPh sb="2" eb="4">
      <t>キキン</t>
    </rPh>
    <phoneticPr fontId="2"/>
  </si>
  <si>
    <t>まちづくり応援基金</t>
    <rPh sb="5" eb="7">
      <t>オウエン</t>
    </rPh>
    <rPh sb="7" eb="9">
      <t>キキン</t>
    </rPh>
    <phoneticPr fontId="2"/>
  </si>
  <si>
    <t>生活資金／緊急資金</t>
  </si>
  <si>
    <t>奨学資金</t>
  </si>
  <si>
    <t>個人市民税</t>
    <rPh sb="0" eb="2">
      <t>コジン</t>
    </rPh>
    <rPh sb="2" eb="5">
      <t>シミンゼイ</t>
    </rPh>
    <phoneticPr fontId="2"/>
  </si>
  <si>
    <t>法人市民税</t>
    <rPh sb="0" eb="2">
      <t>ホウジン</t>
    </rPh>
    <rPh sb="2" eb="5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</si>
  <si>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</si>
  <si>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</si>
  <si>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</si>
  <si>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一時保育料</t>
  </si>
  <si>
    <t>延長保育料</t>
  </si>
  <si>
    <t>学童育成使用料</t>
    <rPh sb="0" eb="2">
      <t>ガクドウ</t>
    </rPh>
    <rPh sb="2" eb="4">
      <t>イクセイ</t>
    </rPh>
    <rPh sb="4" eb="7">
      <t>シヨウリョウ</t>
    </rPh>
    <phoneticPr fontId="2"/>
  </si>
  <si>
    <t>老人保護措置費措置者等</t>
    <rPh sb="0" eb="2">
      <t>ロウジン</t>
    </rPh>
    <rPh sb="2" eb="4">
      <t>ホゴ</t>
    </rPh>
    <rPh sb="4" eb="6">
      <t>ソチ</t>
    </rPh>
    <rPh sb="6" eb="7">
      <t>ヒ</t>
    </rPh>
    <rPh sb="7" eb="9">
      <t>ソチ</t>
    </rPh>
    <rPh sb="9" eb="10">
      <t>シャ</t>
    </rPh>
    <rPh sb="10" eb="11">
      <t>トウ</t>
    </rPh>
    <phoneticPr fontId="2"/>
  </si>
  <si>
    <t>公立保育園入園児童保護者</t>
  </si>
  <si>
    <t>私立保育園入園児童保護者</t>
    <rPh sb="0" eb="1">
      <t>ワタクシ</t>
    </rPh>
    <phoneticPr fontId="2"/>
  </si>
  <si>
    <t>管外委託保育園入園児童保護者</t>
  </si>
  <si>
    <t>生活保護費返還金等</t>
    <rPh sb="0" eb="2">
      <t>セイカツ</t>
    </rPh>
    <rPh sb="2" eb="4">
      <t>ホゴ</t>
    </rPh>
    <rPh sb="4" eb="5">
      <t>ヒ</t>
    </rPh>
    <rPh sb="5" eb="8">
      <t>ヘンカンキン</t>
    </rPh>
    <rPh sb="8" eb="9">
      <t>トウ</t>
    </rPh>
    <phoneticPr fontId="2"/>
  </si>
  <si>
    <t>投資損失引当金</t>
  </si>
  <si>
    <t>退職手当引当金</t>
  </si>
  <si>
    <t>損失補償等引当金</t>
  </si>
  <si>
    <t>賞与等引当金</t>
  </si>
  <si>
    <t>その他</t>
    <rPh sb="2" eb="3">
      <t>タ</t>
    </rPh>
    <phoneticPr fontId="4"/>
  </si>
  <si>
    <t>自治体名：清瀬市　一般会計等</t>
    <rPh sb="9" eb="11">
      <t>イッパン</t>
    </rPh>
    <rPh sb="11" eb="13">
      <t>カイケイ</t>
    </rPh>
    <rPh sb="13" eb="14">
      <t>トウ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</si>
  <si>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</si>
  <si>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</si>
  <si>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税関連交付金</t>
    <rPh sb="0" eb="1">
      <t>ゼイ</t>
    </rPh>
    <rPh sb="1" eb="3">
      <t>カンレン</t>
    </rPh>
    <rPh sb="3" eb="6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</si>
  <si>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</si>
  <si>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</si>
  <si>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</si>
  <si>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</si>
  <si>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その他</t>
    <rPh sb="2" eb="3">
      <t>タ</t>
    </rPh>
    <phoneticPr fontId="4"/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</si>
  <si>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</si>
  <si>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</si>
  <si>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</si>
  <si>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</si>
  <si>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</si>
  <si>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</si>
  <si>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一般会計</t>
    <rPh sb="0" eb="2">
      <t>イッパン</t>
    </rPh>
    <rPh sb="2" eb="4">
      <t>カイケイ</t>
    </rPh>
    <phoneticPr fontId="4"/>
  </si>
  <si>
    <t>税収等</t>
    <rPh sb="0" eb="2">
      <t>ゼイシュウ</t>
    </rPh>
    <rPh sb="2" eb="3">
      <t>トウ</t>
    </rPh>
    <phoneticPr fontId="4"/>
  </si>
  <si>
    <t>（単位：円）</t>
  </si>
  <si>
    <t>物品</t>
  </si>
  <si>
    <t>インフラ資産</t>
  </si>
  <si>
    <t>　建設仮勘定</t>
  </si>
  <si>
    <t>　航空機</t>
  </si>
  <si>
    <t>　浮標等</t>
  </si>
  <si>
    <t>　船舶</t>
  </si>
  <si>
    <t>　工作物</t>
  </si>
  <si>
    <t>　建物</t>
  </si>
  <si>
    <t>　立木竹</t>
  </si>
  <si>
    <t>　土地</t>
  </si>
  <si>
    <t>事業用資産</t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</si>
  <si>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</si>
  <si>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</si>
  <si>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</si>
  <si>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</si>
  <si>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</si>
  <si>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</si>
  <si>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</si>
  <si>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</si>
  <si>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</si>
  <si>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</si>
  <si>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</si>
  <si>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</si>
  <si>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</si>
  <si>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</si>
  <si>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</si>
  <si>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生活資金貸付金/緊急資金貸付金</t>
    <rPh sb="0" eb="2">
      <t>セイカツ</t>
    </rPh>
    <rPh sb="2" eb="4">
      <t>シキン</t>
    </rPh>
    <rPh sb="4" eb="6">
      <t>カシツケ</t>
    </rPh>
    <rPh sb="6" eb="7">
      <t>キン</t>
    </rPh>
    <rPh sb="8" eb="10">
      <t>キンキュウ</t>
    </rPh>
    <rPh sb="10" eb="12">
      <t>シキン</t>
    </rPh>
    <rPh sb="12" eb="14">
      <t>カシツケ</t>
    </rPh>
    <rPh sb="14" eb="15">
      <t>キン</t>
    </rPh>
    <phoneticPr fontId="2"/>
  </si>
  <si>
    <t>徴収不能引当金_x000D_
計上額</t>
    <phoneticPr fontId="4"/>
  </si>
  <si>
    <t>【税収等収入】</t>
    <rPh sb="1" eb="3">
      <t>ゼイシュウ</t>
    </rPh>
    <rPh sb="3" eb="4">
      <t>トウ</t>
    </rPh>
    <rPh sb="4" eb="6">
      <t>シュウニュウ</t>
    </rPh>
    <phoneticPr fontId="4"/>
  </si>
  <si>
    <t>【使用料及び手数料】</t>
    <rPh sb="1" eb="4">
      <t>シヨウリョウ</t>
    </rPh>
    <rPh sb="4" eb="5">
      <t>オヨ</t>
    </rPh>
    <rPh sb="6" eb="9">
      <t>テスウリョウ</t>
    </rPh>
    <phoneticPr fontId="4"/>
  </si>
  <si>
    <t>【分担金及び負担金】</t>
    <rPh sb="1" eb="4">
      <t>ブンタンキン</t>
    </rPh>
    <rPh sb="4" eb="5">
      <t>オヨ</t>
    </rPh>
    <rPh sb="6" eb="9">
      <t>フタンキン</t>
    </rPh>
    <phoneticPr fontId="4"/>
  </si>
  <si>
    <t>【使用料及び手数料収入】</t>
    <rPh sb="1" eb="4">
      <t>シヨウリョウ</t>
    </rPh>
    <rPh sb="4" eb="5">
      <t>オヨ</t>
    </rPh>
    <rPh sb="6" eb="9">
      <t>テスウリョウ</t>
    </rPh>
    <rPh sb="9" eb="11">
      <t>シュウニュウ</t>
    </rPh>
    <phoneticPr fontId="4"/>
  </si>
  <si>
    <t>-</t>
  </si>
  <si>
    <t>資本金_x000D_
(E)</t>
    <phoneticPr fontId="4"/>
  </si>
  <si>
    <t>徴収不能引当金</t>
    <phoneticPr fontId="4"/>
  </si>
  <si>
    <t>その他の補助金等</t>
    <rPh sb="2" eb="3">
      <t>タ</t>
    </rPh>
    <rPh sb="4" eb="7">
      <t>ホジョキン</t>
    </rPh>
    <rPh sb="7" eb="8">
      <t>トウ</t>
    </rPh>
    <phoneticPr fontId="4"/>
  </si>
  <si>
    <t>東京都農業共済組合連合会出資金</t>
    <rPh sb="0" eb="2">
      <t>トウキョウ</t>
    </rPh>
    <rPh sb="2" eb="3">
      <t>ト</t>
    </rPh>
    <rPh sb="3" eb="5">
      <t>ノウギョウ</t>
    </rPh>
    <rPh sb="5" eb="7">
      <t>キョウサイ</t>
    </rPh>
    <rPh sb="7" eb="9">
      <t>クミアイ</t>
    </rPh>
    <rPh sb="9" eb="12">
      <t>レンゴウカイ</t>
    </rPh>
    <rPh sb="12" eb="15">
      <t>シュッシキン</t>
    </rPh>
    <phoneticPr fontId="2"/>
  </si>
  <si>
    <t>（公財）東京都農林水産振興財団出損金</t>
    <phoneticPr fontId="4"/>
  </si>
  <si>
    <t>【その他収入】</t>
    <rPh sb="3" eb="4">
      <t>ホカ</t>
    </rPh>
    <rPh sb="4" eb="6">
      <t>シュウニュウ</t>
    </rPh>
    <phoneticPr fontId="4"/>
  </si>
  <si>
    <t>土地開発公社貸付金</t>
    <rPh sb="0" eb="6">
      <t>トチカイハツコウシャ</t>
    </rPh>
    <rPh sb="6" eb="8">
      <t>カシツケ</t>
    </rPh>
    <rPh sb="8" eb="9">
      <t>キン</t>
    </rPh>
    <phoneticPr fontId="4"/>
  </si>
  <si>
    <t>下水道事業会計出資金</t>
    <phoneticPr fontId="4"/>
  </si>
  <si>
    <t>延長保育料、一時保育料</t>
    <rPh sb="6" eb="8">
      <t>イチジ</t>
    </rPh>
    <rPh sb="8" eb="11">
      <t>ホイクリョウ</t>
    </rPh>
    <phoneticPr fontId="4"/>
  </si>
  <si>
    <t>【諸収入】</t>
    <rPh sb="1" eb="4">
      <t>ショシュウニュウ</t>
    </rPh>
    <phoneticPr fontId="4"/>
  </si>
  <si>
    <t>(参考)_x000D_
加重平均_x000D_
利率</t>
  </si>
  <si>
    <t>国庫支出金</t>
    <rPh sb="0" eb="2">
      <t>コッコ</t>
    </rPh>
    <rPh sb="2" eb="5">
      <t>シシュツキン</t>
    </rPh>
    <phoneticPr fontId="4"/>
  </si>
  <si>
    <t>都支出金</t>
    <rPh sb="0" eb="1">
      <t>トウト</t>
    </rPh>
    <rPh sb="1" eb="4">
      <t>シシュツキン</t>
    </rPh>
    <phoneticPr fontId="4"/>
  </si>
  <si>
    <t>歳計現金</t>
    <rPh sb="0" eb="2">
      <t>サイケイ</t>
    </rPh>
    <rPh sb="2" eb="4">
      <t>ゲンキン</t>
    </rPh>
    <phoneticPr fontId="4"/>
  </si>
  <si>
    <t>警察</t>
  </si>
  <si>
    <t>公立保育園入園児童保護者</t>
    <phoneticPr fontId="2"/>
  </si>
  <si>
    <t>↑差し引きで算出</t>
    <rPh sb="1" eb="2">
      <t>サ</t>
    </rPh>
    <rPh sb="3" eb="4">
      <t>ヒ</t>
    </rPh>
    <rPh sb="6" eb="8">
      <t>サンシュツ</t>
    </rPh>
    <phoneticPr fontId="4"/>
  </si>
  <si>
    <t>区分</t>
    <rPh sb="0" eb="2">
      <t>クブン</t>
    </rPh>
    <phoneticPr fontId="4"/>
  </si>
  <si>
    <t>附属明細書区分</t>
    <rPh sb="0" eb="5">
      <t>フゾクメイサイショ</t>
    </rPh>
    <rPh sb="5" eb="7">
      <t>クブン</t>
    </rPh>
    <phoneticPr fontId="4"/>
  </si>
  <si>
    <t>防災・減災・国土強靱化緊急対策事業債</t>
  </si>
  <si>
    <t>全国防災事業債</t>
  </si>
  <si>
    <t>教育･福祉施設等整備事業債</t>
  </si>
  <si>
    <t>減収補塡債</t>
  </si>
  <si>
    <t>公共事業等債</t>
    <rPh sb="0" eb="2">
      <t>コウキョウ</t>
    </rPh>
    <rPh sb="2" eb="4">
      <t>ジギョウ</t>
    </rPh>
    <rPh sb="4" eb="5">
      <t>ナド</t>
    </rPh>
    <rPh sb="5" eb="6">
      <t>サイ</t>
    </rPh>
    <phoneticPr fontId="4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</si>
  <si>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4"/>
  </si>
  <si>
    <t>一般単独事業債</t>
    <rPh sb="0" eb="2">
      <t>イッパン</t>
    </rPh>
    <rPh sb="2" eb="4">
      <t>タンドク</t>
    </rPh>
    <rPh sb="4" eb="6">
      <t>ジギョウ</t>
    </rPh>
    <rPh sb="6" eb="7">
      <t>サイ</t>
    </rPh>
    <phoneticPr fontId="4"/>
  </si>
  <si>
    <t>財源対策債</t>
    <rPh sb="0" eb="2">
      <t>ザイゲン</t>
    </rPh>
    <rPh sb="2" eb="4">
      <t>タイサク</t>
    </rPh>
    <rPh sb="4" eb="5">
      <t>サイ</t>
    </rPh>
    <phoneticPr fontId="4"/>
  </si>
  <si>
    <t>減税補填債</t>
    <rPh sb="0" eb="2">
      <t>ゲンゼイ</t>
    </rPh>
    <rPh sb="2" eb="4">
      <t>ホテン</t>
    </rPh>
    <rPh sb="4" eb="5">
      <t>サイ</t>
    </rPh>
    <phoneticPr fontId="4"/>
  </si>
  <si>
    <t>都道府県貸付金</t>
    <rPh sb="0" eb="4">
      <t>トドウフケン</t>
    </rPh>
    <rPh sb="4" eb="7">
      <t>カシツケキン</t>
    </rPh>
    <phoneticPr fontId="4"/>
  </si>
  <si>
    <t>政府資金</t>
    <rPh sb="0" eb="4">
      <t>セイフシキン</t>
    </rPh>
    <phoneticPr fontId="4"/>
  </si>
  <si>
    <t>地方公共団体金融機構</t>
    <rPh sb="0" eb="2">
      <t>チホウ</t>
    </rPh>
    <rPh sb="2" eb="6">
      <t>コウキョウダンタイ</t>
    </rPh>
    <rPh sb="6" eb="8">
      <t>キンユウ</t>
    </rPh>
    <rPh sb="8" eb="10">
      <t>キコウ</t>
    </rPh>
    <phoneticPr fontId="4"/>
  </si>
  <si>
    <t>市中銀行</t>
    <rPh sb="0" eb="2">
      <t>シチュウ</t>
    </rPh>
    <rPh sb="2" eb="4">
      <t>ギンコウ</t>
    </rPh>
    <phoneticPr fontId="4"/>
  </si>
  <si>
    <t>その他の金融機関</t>
    <rPh sb="2" eb="3">
      <t>タ</t>
    </rPh>
    <rPh sb="4" eb="6">
      <t>キンユウ</t>
    </rPh>
    <rPh sb="6" eb="8">
      <t>キカン</t>
    </rPh>
    <phoneticPr fontId="4"/>
  </si>
  <si>
    <t>地方公募債</t>
    <rPh sb="0" eb="2">
      <t>チホウ</t>
    </rPh>
    <rPh sb="2" eb="5">
      <t>コウボサイ</t>
    </rPh>
    <phoneticPr fontId="4"/>
  </si>
  <si>
    <t>割合</t>
    <rPh sb="0" eb="2">
      <t>ワリアイ</t>
    </rPh>
    <phoneticPr fontId="4"/>
  </si>
  <si>
    <t>決算統計33表より転記</t>
    <rPh sb="0" eb="2">
      <t>ケッサン</t>
    </rPh>
    <rPh sb="2" eb="4">
      <t>トウケイ</t>
    </rPh>
    <rPh sb="6" eb="7">
      <t>ヒョウ</t>
    </rPh>
    <rPh sb="9" eb="11">
      <t>テンキ</t>
    </rPh>
    <phoneticPr fontId="4"/>
  </si>
  <si>
    <t>決算統計36表より転記</t>
    <rPh sb="0" eb="2">
      <t>ケッサン</t>
    </rPh>
    <rPh sb="2" eb="4">
      <t>トウケイ</t>
    </rPh>
    <rPh sb="6" eb="7">
      <t>ヒョウ</t>
    </rPh>
    <rPh sb="9" eb="11">
      <t>テンキ</t>
    </rPh>
    <phoneticPr fontId="4"/>
  </si>
  <si>
    <t>政府資金
除いた残高</t>
    <rPh sb="0" eb="4">
      <t>セイフシキン</t>
    </rPh>
    <rPh sb="5" eb="6">
      <t>ノゾ</t>
    </rPh>
    <rPh sb="8" eb="10">
      <t>ザンダカ</t>
    </rPh>
    <phoneticPr fontId="4"/>
  </si>
  <si>
    <t>災害復旧事業債</t>
    <rPh sb="0" eb="2">
      <t>サイガイ</t>
    </rPh>
    <rPh sb="2" eb="4">
      <t>フッキュウ</t>
    </rPh>
    <rPh sb="4" eb="7">
      <t>ジギョウサイ</t>
    </rPh>
    <phoneticPr fontId="4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</si>
  <si>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サイ</t>
    </rPh>
    <rPh sb="10" eb="12">
      <t>ジギョウ</t>
    </rPh>
    <rPh sb="12" eb="13">
      <t>サイ</t>
    </rPh>
    <phoneticPr fontId="4"/>
  </si>
  <si>
    <t>辺地対策事業債</t>
    <rPh sb="0" eb="1">
      <t>ヘン</t>
    </rPh>
    <rPh sb="1" eb="2">
      <t>チ</t>
    </rPh>
    <rPh sb="2" eb="4">
      <t>タイサク</t>
    </rPh>
    <rPh sb="4" eb="7">
      <t>ジギョウサイ</t>
    </rPh>
    <phoneticPr fontId="4"/>
  </si>
  <si>
    <t>過疎対策事業債</t>
    <rPh sb="0" eb="4">
      <t>カソタイサク</t>
    </rPh>
    <rPh sb="4" eb="7">
      <t>ジギョウサイ</t>
    </rPh>
    <phoneticPr fontId="4"/>
  </si>
  <si>
    <t>公共用地先行取得等事業債</t>
    <rPh sb="0" eb="3">
      <t>コウキョウヨウ</t>
    </rPh>
    <rPh sb="3" eb="4">
      <t>チ</t>
    </rPh>
    <rPh sb="4" eb="6">
      <t>センコウ</t>
    </rPh>
    <rPh sb="6" eb="8">
      <t>シュトク</t>
    </rPh>
    <rPh sb="8" eb="9">
      <t>ナド</t>
    </rPh>
    <rPh sb="9" eb="12">
      <t>ジギョウサイ</t>
    </rPh>
    <phoneticPr fontId="4"/>
  </si>
  <si>
    <t>行政改革推進債</t>
    <rPh sb="0" eb="2">
      <t>ギョウセイ</t>
    </rPh>
    <rPh sb="2" eb="6">
      <t>カイカクスイシン</t>
    </rPh>
    <rPh sb="6" eb="7">
      <t>サイ</t>
    </rPh>
    <phoneticPr fontId="4"/>
  </si>
  <si>
    <t>厚生福祉施設整備事業債</t>
    <rPh sb="0" eb="2">
      <t>コウセイ</t>
    </rPh>
    <rPh sb="2" eb="4">
      <t>フクシ</t>
    </rPh>
    <rPh sb="4" eb="6">
      <t>シセツ</t>
    </rPh>
    <rPh sb="6" eb="8">
      <t>セイビ</t>
    </rPh>
    <rPh sb="8" eb="11">
      <t>ジギョウサイ</t>
    </rPh>
    <phoneticPr fontId="4"/>
  </si>
  <si>
    <t>地域財政特例対策債</t>
    <rPh sb="0" eb="2">
      <t>チイキ</t>
    </rPh>
    <rPh sb="2" eb="4">
      <t>ザイセイ</t>
    </rPh>
    <rPh sb="4" eb="6">
      <t>トクレイ</t>
    </rPh>
    <rPh sb="6" eb="9">
      <t>タイサクサイ</t>
    </rPh>
    <phoneticPr fontId="4"/>
  </si>
  <si>
    <t>退職手当債（～平成17年度分）</t>
    <rPh sb="0" eb="4">
      <t>タイショクテアテ</t>
    </rPh>
    <rPh sb="4" eb="5">
      <t>サイ</t>
    </rPh>
    <rPh sb="7" eb="9">
      <t>ヘイセイ</t>
    </rPh>
    <rPh sb="11" eb="13">
      <t>ネンド</t>
    </rPh>
    <rPh sb="13" eb="14">
      <t>ブン</t>
    </rPh>
    <phoneticPr fontId="4"/>
  </si>
  <si>
    <t>退職手当債（平成18年度～）</t>
    <rPh sb="0" eb="2">
      <t>タイショク</t>
    </rPh>
    <rPh sb="2" eb="4">
      <t>テアテ</t>
    </rPh>
    <rPh sb="4" eb="5">
      <t>サイ</t>
    </rPh>
    <rPh sb="6" eb="8">
      <t>ヘイセイ</t>
    </rPh>
    <rPh sb="10" eb="12">
      <t>ネンド</t>
    </rPh>
    <phoneticPr fontId="4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</si>
  <si>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4"/>
  </si>
  <si>
    <t>地域改善対策特定事業債</t>
    <rPh sb="0" eb="2">
      <t>チイキ</t>
    </rPh>
    <rPh sb="2" eb="4">
      <t>カイゼン</t>
    </rPh>
    <rPh sb="4" eb="6">
      <t>タイサク</t>
    </rPh>
    <rPh sb="6" eb="8">
      <t>トクテイ</t>
    </rPh>
    <rPh sb="8" eb="11">
      <t>ジギョウサイ</t>
    </rPh>
    <phoneticPr fontId="4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</si>
  <si>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4"/>
  </si>
  <si>
    <t>臨時財政対策債</t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</si>
  <si>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</si>
  <si>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公共事業等臨時特例債</t>
    <rPh sb="0" eb="2">
      <t>コウキョウ</t>
    </rPh>
    <rPh sb="2" eb="4">
      <t>ジギョウ</t>
    </rPh>
    <rPh sb="4" eb="5">
      <t>ナド</t>
    </rPh>
    <rPh sb="5" eb="7">
      <t>リンジ</t>
    </rPh>
    <rPh sb="7" eb="9">
      <t>トクレイ</t>
    </rPh>
    <rPh sb="9" eb="10">
      <t>サイ</t>
    </rPh>
    <phoneticPr fontId="4"/>
  </si>
  <si>
    <t>臨時税収補填債</t>
    <rPh sb="0" eb="2">
      <t>リンジ</t>
    </rPh>
    <rPh sb="2" eb="4">
      <t>ゼイシュウ</t>
    </rPh>
    <rPh sb="4" eb="6">
      <t>ホテン</t>
    </rPh>
    <rPh sb="6" eb="7">
      <t>サイ</t>
    </rPh>
    <phoneticPr fontId="4"/>
  </si>
  <si>
    <t>調整債（昭和60～63年度分）</t>
    <rPh sb="0" eb="2">
      <t>チョウセイ</t>
    </rPh>
    <rPh sb="2" eb="3">
      <t>サイ</t>
    </rPh>
    <rPh sb="4" eb="6">
      <t>ショウワ</t>
    </rPh>
    <rPh sb="11" eb="13">
      <t>ネンド</t>
    </rPh>
    <rPh sb="13" eb="14">
      <t>ブン</t>
    </rPh>
    <phoneticPr fontId="4"/>
  </si>
  <si>
    <t>猶予特例債</t>
    <rPh sb="0" eb="2">
      <t>ユウヨ</t>
    </rPh>
    <rPh sb="2" eb="4">
      <t>トクレイ</t>
    </rPh>
    <rPh sb="4" eb="5">
      <t>サイ</t>
    </rPh>
    <phoneticPr fontId="4"/>
  </si>
  <si>
    <t>特別減収対策債</t>
    <rPh sb="0" eb="2">
      <t>トクベツ</t>
    </rPh>
    <rPh sb="2" eb="4">
      <t>ゲンシュウ</t>
    </rPh>
    <rPh sb="4" eb="7">
      <t>タイサクサイ</t>
    </rPh>
    <phoneticPr fontId="4"/>
  </si>
  <si>
    <t>区分確認</t>
    <rPh sb="0" eb="2">
      <t>クブン</t>
    </rPh>
    <rPh sb="2" eb="4">
      <t>カクニン</t>
    </rPh>
    <phoneticPr fontId="4"/>
  </si>
  <si>
    <t>一般公共事業</t>
  </si>
  <si>
    <t>公営住宅建設</t>
  </si>
  <si>
    <t>災害復旧</t>
  </si>
  <si>
    <t>教育・福祉施設</t>
  </si>
  <si>
    <t>一般単独事業</t>
  </si>
  <si>
    <t>その他（通常分）</t>
    <rPh sb="4" eb="7">
      <t>ツウジョウブン</t>
    </rPh>
    <phoneticPr fontId="4"/>
  </si>
  <si>
    <t>減税補てん債</t>
  </si>
  <si>
    <t>退職手当債</t>
  </si>
  <si>
    <t>その他（特別分）</t>
    <rPh sb="4" eb="6">
      <t>トクベツ</t>
    </rPh>
    <rPh sb="6" eb="7">
      <t>ブン</t>
    </rPh>
    <phoneticPr fontId="4"/>
  </si>
  <si>
    <t>(単位：　円)</t>
    <rPh sb="5" eb="6">
      <t>エン</t>
    </rPh>
    <phoneticPr fontId="6"/>
  </si>
  <si>
    <t>sumif、カウント用</t>
    <rPh sb="10" eb="11">
      <t>ヨウ</t>
    </rPh>
    <phoneticPr fontId="4"/>
  </si>
  <si>
    <t>四表より転記</t>
    <rPh sb="0" eb="2">
      <t>ヨンヒョウ</t>
    </rPh>
    <rPh sb="4" eb="6">
      <t>テンキ</t>
    </rPh>
    <phoneticPr fontId="4"/>
  </si>
  <si>
    <t>1年内償還予定地方債</t>
    <rPh sb="1" eb="2">
      <t>トシ</t>
    </rPh>
    <rPh sb="2" eb="3">
      <t>ナイ</t>
    </rPh>
    <rPh sb="3" eb="5">
      <t>ショウカン</t>
    </rPh>
    <rPh sb="5" eb="7">
      <t>ヨテイ</t>
    </rPh>
    <rPh sb="7" eb="10">
      <t>チホウサイ</t>
    </rPh>
    <phoneticPr fontId="4"/>
  </si>
  <si>
    <t>↓円単位で入力</t>
    <rPh sb="1" eb="4">
      <t>エンタンイ</t>
    </rPh>
    <rPh sb="5" eb="7">
      <t>ニュウリョク</t>
    </rPh>
    <phoneticPr fontId="4"/>
  </si>
  <si>
    <t>調整する額</t>
    <rPh sb="0" eb="2">
      <t>チョウセイ</t>
    </rPh>
    <rPh sb="4" eb="5">
      <t>ガク</t>
    </rPh>
    <phoneticPr fontId="4"/>
  </si>
  <si>
    <t>↑ベタ打ち</t>
    <rPh sb="3" eb="4">
      <t>ウ</t>
    </rPh>
    <phoneticPr fontId="4"/>
  </si>
  <si>
    <t>地方債の額</t>
    <rPh sb="0" eb="3">
      <t>チホウサイ</t>
    </rPh>
    <rPh sb="4" eb="5">
      <t>ガク</t>
    </rPh>
    <phoneticPr fontId="4"/>
  </si>
  <si>
    <t>差額確認→</t>
    <rPh sb="0" eb="2">
      <t>サガク</t>
    </rPh>
    <rPh sb="2" eb="4">
      <t>カクニン</t>
    </rPh>
    <phoneticPr fontId="4"/>
  </si>
  <si>
    <t>0であることを確認！</t>
    <rPh sb="7" eb="9">
      <t>カクニン</t>
    </rPh>
    <phoneticPr fontId="4"/>
  </si>
  <si>
    <t>横計　確認</t>
    <rPh sb="0" eb="1">
      <t>ヨコ</t>
    </rPh>
    <rPh sb="1" eb="2">
      <t>ケイ</t>
    </rPh>
    <rPh sb="3" eb="5">
      <t>カクニン</t>
    </rPh>
    <phoneticPr fontId="4"/>
  </si>
  <si>
    <t>↑</t>
    <phoneticPr fontId="4"/>
  </si>
  <si>
    <t>元金の合計値</t>
    <rPh sb="0" eb="2">
      <t>ガンキン</t>
    </rPh>
    <rPh sb="3" eb="6">
      <t>ゴウケイチ</t>
    </rPh>
    <phoneticPr fontId="4"/>
  </si>
  <si>
    <t>BDとの整合確認→</t>
    <rPh sb="4" eb="6">
      <t>セイゴウ</t>
    </rPh>
    <rPh sb="6" eb="8">
      <t>カクニン</t>
    </rPh>
    <phoneticPr fontId="4"/>
  </si>
  <si>
    <t>端数調整用</t>
    <rPh sb="0" eb="2">
      <t>ハスウ</t>
    </rPh>
    <rPh sb="2" eb="5">
      <t>チョウセイヨウ</t>
    </rPh>
    <phoneticPr fontId="4"/>
  </si>
  <si>
    <t>管外委託保育園入園児童保護者</t>
    <phoneticPr fontId="4"/>
  </si>
  <si>
    <t>有形固定資産の明細</t>
    <phoneticPr fontId="4"/>
  </si>
  <si>
    <t>決算統計36表「令和11年度～15年度」</t>
    <rPh sb="0" eb="2">
      <t>ケッサン</t>
    </rPh>
    <rPh sb="2" eb="4">
      <t>トウケイ</t>
    </rPh>
    <rPh sb="6" eb="7">
      <t>ヒョウ</t>
    </rPh>
    <rPh sb="8" eb="10">
      <t>レイワ</t>
    </rPh>
    <rPh sb="12" eb="14">
      <t>ネンド</t>
    </rPh>
    <rPh sb="17" eb="19">
      <t>ネンド</t>
    </rPh>
    <phoneticPr fontId="4"/>
  </si>
  <si>
    <t>調整債（令和1～5年度分）</t>
    <rPh sb="0" eb="2">
      <t>チョウセイ</t>
    </rPh>
    <rPh sb="2" eb="3">
      <t>サイ</t>
    </rPh>
    <rPh sb="4" eb="6">
      <t>レイワ</t>
    </rPh>
    <rPh sb="9" eb="11">
      <t>ネンド</t>
    </rPh>
    <rPh sb="11" eb="12">
      <t>ブン</t>
    </rPh>
    <phoneticPr fontId="4"/>
  </si>
  <si>
    <t>減収補塡債特例分（平成14・19～30・令和1～5年度分）</t>
    <rPh sb="4" eb="5">
      <t>サイ</t>
    </rPh>
    <rPh sb="5" eb="7">
      <t>トクレイ</t>
    </rPh>
    <rPh sb="7" eb="8">
      <t>ブン</t>
    </rPh>
    <rPh sb="9" eb="11">
      <t>ヘイセイ</t>
    </rPh>
    <rPh sb="20" eb="22">
      <t>レイワ</t>
    </rPh>
    <rPh sb="25" eb="27">
      <t>ネンド</t>
    </rPh>
    <rPh sb="27" eb="28">
      <t>ブン</t>
    </rPh>
    <phoneticPr fontId="4"/>
  </si>
  <si>
    <t>年度：令和６年度</t>
    <rPh sb="3" eb="5">
      <t>レイワ</t>
    </rPh>
    <phoneticPr fontId="4"/>
  </si>
  <si>
    <t>※1円端数調整</t>
    <rPh sb="2" eb="3">
      <t>エン</t>
    </rPh>
    <rPh sb="3" eb="7">
      <t>ハスウチョウセイ</t>
    </rPh>
    <phoneticPr fontId="4"/>
  </si>
  <si>
    <t>生活保護費弁償金等</t>
    <rPh sb="8" eb="9">
      <t>ナド</t>
    </rPh>
    <phoneticPr fontId="2"/>
  </si>
  <si>
    <t>※1円端数調整</t>
    <phoneticPr fontId="4"/>
  </si>
  <si>
    <t>R6残高</t>
    <rPh sb="2" eb="4">
      <t>ザンダカ</t>
    </rPh>
    <phoneticPr fontId="4"/>
  </si>
  <si>
    <t>令和６年度</t>
    <phoneticPr fontId="4"/>
  </si>
  <si>
    <t>保育園運営事業費（国庫負担金及び補助金）</t>
  </si>
  <si>
    <t>清瀬市調整給付金給付事業給付金</t>
    <rPh sb="12" eb="15">
      <t>キュウフキン</t>
    </rPh>
    <phoneticPr fontId="22"/>
  </si>
  <si>
    <t>低所得者支援給付金給付事業給付金</t>
    <rPh sb="13" eb="16">
      <t>キュウフキン</t>
    </rPh>
    <phoneticPr fontId="22"/>
  </si>
  <si>
    <t>施設等利用費・園児保護者負担軽減補助金</t>
  </si>
  <si>
    <t>柳泉園組合負担金</t>
    <rPh sb="5" eb="8">
      <t>フタンキン</t>
    </rPh>
    <phoneticPr fontId="22"/>
  </si>
  <si>
    <t>清瀬市一時預かり幼稚園型事業補助金</t>
  </si>
  <si>
    <t>東京たま広域資源循環組合負担金</t>
    <rPh sb="12" eb="15">
      <t>フタンキン</t>
    </rPh>
    <phoneticPr fontId="22"/>
  </si>
  <si>
    <t>雨水処理負担金及び他会計負担金</t>
  </si>
  <si>
    <t>昭和病院組合運営費分賦金</t>
  </si>
  <si>
    <t>社会福祉法人清瀬市社会福祉協議会に対する運営費助成</t>
  </si>
  <si>
    <t>多摩六都科学館組合負担金</t>
  </si>
  <si>
    <t>清瀬市子ども応援給付金</t>
  </si>
  <si>
    <t>アミュービル受変電設備更新工事</t>
  </si>
  <si>
    <t>木造住宅耐震改修等助成金</t>
  </si>
  <si>
    <t>その他</t>
    <rPh sb="2" eb="3">
      <t>タ</t>
    </rPh>
    <phoneticPr fontId="22"/>
  </si>
  <si>
    <t>多摩六都科学館組合</t>
    <phoneticPr fontId="4"/>
  </si>
  <si>
    <t>昭和病院組合</t>
    <phoneticPr fontId="4"/>
  </si>
  <si>
    <t>社会福祉法人清瀬市社会福祉協議会</t>
    <phoneticPr fontId="4"/>
  </si>
  <si>
    <t>下水道事業</t>
    <rPh sb="0" eb="5">
      <t>ゲスイドウジギョウ</t>
    </rPh>
    <phoneticPr fontId="4"/>
  </si>
  <si>
    <t>東京たま広域資源循環組合</t>
    <phoneticPr fontId="4"/>
  </si>
  <si>
    <t>柳泉園組合</t>
    <phoneticPr fontId="4"/>
  </si>
  <si>
    <t>保育園等</t>
    <rPh sb="0" eb="3">
      <t>ホイクエン</t>
    </rPh>
    <rPh sb="3" eb="4">
      <t>ナド</t>
    </rPh>
    <phoneticPr fontId="4"/>
  </si>
  <si>
    <t>幼稚園</t>
    <rPh sb="0" eb="3">
      <t>ヨウチエン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</si>
</sst>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[Red]_ * \-#,##0_ ;_ * &quot;-&quot;_ ;_ @_ "/>
    <numFmt numFmtId="177" formatCode="#,##0.000"/>
  </numFmts>
  <fonts count="23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2"/>
      <scheme val="minor"/>
    </font>
    <font>
      <b/>
      <sz val="18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  <xf numFmtId="38" fontId="7" fillId="0" borderId="0" applyFont="0" applyFill="0" applyBorder="0" applyAlignment="0" applyProtection="0"/>
    <xf numFmtId="0" fontId="3" fillId="0" borderId="0"/>
  </cellStyleXfs>
  <cellXfs count="1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0" borderId="0" xfId="5" applyNumberFormat="1" applyFont="1"/>
    <xf numFmtId="3" fontId="15" fillId="0" borderId="1" xfId="0" applyNumberFormat="1" applyFont="1" applyBorder="1" applyAlignment="1">
      <alignment horizontal="right" vertical="center"/>
    </xf>
    <xf numFmtId="10" fontId="15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left" vertical="center"/>
    </xf>
    <xf numFmtId="3" fontId="15" fillId="0" borderId="0" xfId="0" applyNumberFormat="1" applyFont="1"/>
    <xf numFmtId="3" fontId="14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1" xfId="0" applyNumberFormat="1" applyFont="1" applyBorder="1" applyAlignment="1">
      <alignment horizontal="center" vertical="center"/>
    </xf>
    <xf numFmtId="3" fontId="10" fillId="0" borderId="0" xfId="0" applyNumberFormat="1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horizontal="center" vertical="center"/>
    </xf>
    <xf numFmtId="38" fontId="15" fillId="0" borderId="0" xfId="2" applyFont="1" applyFill="1" applyAlignment="1"/>
    <xf numFmtId="38" fontId="15" fillId="0" borderId="1" xfId="2" applyFont="1" applyFill="1" applyBorder="1" applyAlignment="1">
      <alignment horizontal="right" vertical="center"/>
    </xf>
    <xf numFmtId="3" fontId="15" fillId="0" borderId="8" xfId="0" applyNumberFormat="1" applyFont="1" applyBorder="1" applyAlignment="1">
      <alignment horizontal="center" vertical="center"/>
    </xf>
    <xf numFmtId="38" fontId="15" fillId="0" borderId="1" xfId="2" applyFont="1" applyFill="1" applyBorder="1" applyAlignment="1">
      <alignment vertical="center"/>
    </xf>
    <xf numFmtId="3" fontId="15" fillId="0" borderId="1" xfId="0" applyNumberFormat="1" applyFont="1" applyBorder="1" applyAlignment="1">
      <alignment horizontal="left" vertical="center" shrinkToFit="1"/>
    </xf>
    <xf numFmtId="3" fontId="2" fillId="0" borderId="0" xfId="5" applyNumberFormat="1" applyFont="1"/>
    <xf numFmtId="3" fontId="1" fillId="0" borderId="3" xfId="5" applyNumberFormat="1" applyFont="1" applyBorder="1" applyAlignment="1">
      <alignment horizontal="left" vertical="center"/>
    </xf>
    <xf numFmtId="3" fontId="1" fillId="0" borderId="1" xfId="5" applyNumberFormat="1" applyFont="1" applyBorder="1" applyAlignment="1">
      <alignment horizontal="right" vertical="center"/>
    </xf>
    <xf numFmtId="3" fontId="1" fillId="0" borderId="3" xfId="5" applyNumberFormat="1" applyFont="1" applyBorder="1" applyAlignment="1">
      <alignment vertical="center"/>
    </xf>
    <xf numFmtId="0" fontId="8" fillId="0" borderId="0" xfId="0" applyFont="1"/>
    <xf numFmtId="3" fontId="20" fillId="0" borderId="0" xfId="3" applyNumberFormat="1" applyFont="1"/>
    <xf numFmtId="3" fontId="15" fillId="0" borderId="0" xfId="3" applyNumberFormat="1" applyFont="1"/>
    <xf numFmtId="3" fontId="16" fillId="0" borderId="0" xfId="3" applyNumberFormat="1" applyFont="1" applyAlignment="1">
      <alignment horizontal="right"/>
    </xf>
    <xf numFmtId="3" fontId="15" fillId="0" borderId="1" xfId="3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left" vertical="center"/>
    </xf>
    <xf numFmtId="3" fontId="15" fillId="0" borderId="1" xfId="3" applyNumberFormat="1" applyFont="1" applyBorder="1" applyAlignment="1">
      <alignment horizontal="right" vertical="center"/>
    </xf>
    <xf numFmtId="3" fontId="15" fillId="0" borderId="3" xfId="3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5" fillId="2" borderId="1" xfId="3" applyNumberFormat="1" applyFont="1" applyFill="1" applyBorder="1" applyAlignment="1">
      <alignment horizontal="center" vertical="center"/>
    </xf>
    <xf numFmtId="3" fontId="15" fillId="2" borderId="7" xfId="3" applyNumberFormat="1" applyFont="1" applyFill="1" applyBorder="1" applyAlignment="1">
      <alignment horizontal="center" vertical="center"/>
    </xf>
    <xf numFmtId="3" fontId="15" fillId="2" borderId="5" xfId="3" applyNumberFormat="1" applyFont="1" applyFill="1" applyBorder="1" applyAlignment="1">
      <alignment horizontal="center" vertical="center"/>
    </xf>
    <xf numFmtId="3" fontId="15" fillId="2" borderId="4" xfId="3" applyNumberFormat="1" applyFont="1" applyFill="1" applyBorder="1" applyAlignment="1">
      <alignment horizontal="center" vertical="center"/>
    </xf>
    <xf numFmtId="3" fontId="15" fillId="2" borderId="3" xfId="3" applyNumberFormat="1" applyFont="1" applyFill="1" applyBorder="1" applyAlignment="1">
      <alignment horizontal="center" vertical="center"/>
    </xf>
    <xf numFmtId="3" fontId="1" fillId="2" borderId="3" xfId="5" applyNumberFormat="1" applyFont="1" applyFill="1" applyBorder="1" applyAlignment="1">
      <alignment horizontal="center" vertical="center"/>
    </xf>
    <xf numFmtId="3" fontId="1" fillId="2" borderId="1" xfId="5" applyNumberFormat="1" applyFont="1" applyFill="1" applyBorder="1" applyAlignment="1">
      <alignment horizontal="center" vertical="center"/>
    </xf>
    <xf numFmtId="3" fontId="1" fillId="2" borderId="1" xfId="5" applyNumberFormat="1" applyFont="1" applyFill="1" applyBorder="1" applyAlignment="1">
      <alignment horizontal="center" vertical="center" wrapText="1"/>
    </xf>
    <xf numFmtId="3" fontId="1" fillId="2" borderId="3" xfId="5" applyNumberFormat="1" applyFont="1" applyFill="1" applyBorder="1" applyAlignment="1">
      <alignment horizontal="center" vertical="center" wrapText="1"/>
    </xf>
    <xf numFmtId="38" fontId="15" fillId="2" borderId="1" xfId="2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177" fontId="1" fillId="0" borderId="1" xfId="5" applyNumberFormat="1" applyFont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5" fillId="0" borderId="6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horizontal="right" vertical="center"/>
    </xf>
    <xf numFmtId="10" fontId="15" fillId="0" borderId="12" xfId="1" applyNumberFormat="1" applyFont="1" applyFill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horizontal="right" vertical="center"/>
    </xf>
    <xf numFmtId="10" fontId="15" fillId="0" borderId="16" xfId="1" applyNumberFormat="1" applyFont="1" applyFill="1" applyBorder="1" applyAlignment="1">
      <alignment horizontal="right" vertical="center"/>
    </xf>
    <xf numFmtId="3" fontId="15" fillId="0" borderId="17" xfId="0" applyNumberFormat="1" applyFont="1" applyBorder="1" applyAlignment="1">
      <alignment horizontal="right" vertical="center"/>
    </xf>
    <xf numFmtId="3" fontId="15" fillId="0" borderId="18" xfId="0" applyNumberFormat="1" applyFont="1" applyBorder="1" applyAlignment="1">
      <alignment horizontal="right" vertical="center"/>
    </xf>
    <xf numFmtId="10" fontId="15" fillId="0" borderId="19" xfId="1" applyNumberFormat="1" applyFont="1" applyFill="1" applyBorder="1" applyAlignment="1">
      <alignment horizontal="right" vertical="center"/>
    </xf>
    <xf numFmtId="38" fontId="15" fillId="0" borderId="13" xfId="2" applyFont="1" applyFill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8" fontId="0" fillId="0" borderId="0" xfId="2" applyFont="1" applyAlignment="1"/>
    <xf numFmtId="0" fontId="0" fillId="0" borderId="0" xfId="0" applyAlignment="1">
      <alignment wrapText="1"/>
    </xf>
    <xf numFmtId="38" fontId="0" fillId="0" borderId="0" xfId="2" applyFont="1" applyAlignment="1">
      <alignment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38" fontId="0" fillId="4" borderId="1" xfId="2" applyFont="1" applyFill="1" applyBorder="1" applyAlignment="1"/>
    <xf numFmtId="38" fontId="0" fillId="5" borderId="1" xfId="2" applyFont="1" applyFill="1" applyBorder="1" applyAlignment="1"/>
    <xf numFmtId="38" fontId="0" fillId="3" borderId="9" xfId="2" applyFont="1" applyFill="1" applyBorder="1" applyAlignment="1"/>
    <xf numFmtId="38" fontId="0" fillId="4" borderId="9" xfId="2" applyFont="1" applyFill="1" applyBorder="1" applyAlignment="1"/>
    <xf numFmtId="0" fontId="0" fillId="0" borderId="1" xfId="0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8" fontId="0" fillId="4" borderId="12" xfId="2" applyFont="1" applyFill="1" applyBorder="1" applyAlignment="1"/>
    <xf numFmtId="38" fontId="0" fillId="0" borderId="1" xfId="2" applyFont="1" applyBorder="1" applyAlignment="1"/>
    <xf numFmtId="10" fontId="0" fillId="0" borderId="1" xfId="1" applyNumberFormat="1" applyFont="1" applyBorder="1" applyAlignment="1"/>
    <xf numFmtId="0" fontId="0" fillId="0" borderId="1" xfId="0" applyBorder="1" applyAlignment="1">
      <alignment vertical="center"/>
    </xf>
    <xf numFmtId="38" fontId="0" fillId="0" borderId="1" xfId="2" applyFont="1" applyBorder="1" applyAlignment="1">
      <alignment horizontal="center" vertical="center" wrapText="1"/>
    </xf>
    <xf numFmtId="3" fontId="15" fillId="0" borderId="0" xfId="3" applyNumberFormat="1" applyFont="1" applyAlignment="1">
      <alignment horizontal="right"/>
    </xf>
    <xf numFmtId="38" fontId="15" fillId="0" borderId="4" xfId="2" applyFont="1" applyFill="1" applyBorder="1" applyAlignment="1">
      <alignment horizontal="right" vertical="center"/>
    </xf>
    <xf numFmtId="0" fontId="0" fillId="6" borderId="0" xfId="0" applyFill="1"/>
    <xf numFmtId="38" fontId="0" fillId="6" borderId="1" xfId="2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20" xfId="0" applyBorder="1"/>
    <xf numFmtId="38" fontId="0" fillId="0" borderId="0" xfId="2" applyFont="1" applyBorder="1" applyAlignment="1"/>
    <xf numFmtId="0" fontId="0" fillId="0" borderId="0" xfId="0" applyAlignment="1">
      <alignment horizontal="center"/>
    </xf>
    <xf numFmtId="38" fontId="0" fillId="0" borderId="0" xfId="0" applyNumberFormat="1"/>
    <xf numFmtId="38" fontId="0" fillId="0" borderId="6" xfId="2" applyFont="1" applyBorder="1" applyAlignment="1"/>
    <xf numFmtId="38" fontId="0" fillId="5" borderId="6" xfId="2" applyFont="1" applyFill="1" applyBorder="1" applyAlignment="1"/>
    <xf numFmtId="0" fontId="0" fillId="0" borderId="20" xfId="0" applyBorder="1" applyAlignment="1">
      <alignment horizontal="center"/>
    </xf>
    <xf numFmtId="10" fontId="15" fillId="0" borderId="9" xfId="1" applyNumberFormat="1" applyFont="1" applyFill="1" applyBorder="1" applyAlignment="1">
      <alignment horizontal="right" vertical="center"/>
    </xf>
    <xf numFmtId="38" fontId="0" fillId="0" borderId="1" xfId="2" applyFont="1" applyFill="1" applyBorder="1" applyAlignme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6" xfId="3" applyNumberFormat="1" applyFont="1" applyFill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left" vertical="center"/>
    </xf>
    <xf numFmtId="3" fontId="15" fillId="0" borderId="11" xfId="0" applyNumberFormat="1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left" vertical="center"/>
    </xf>
    <xf numFmtId="3" fontId="15" fillId="0" borderId="4" xfId="0" applyNumberFormat="1" applyFont="1" applyBorder="1" applyAlignment="1">
      <alignment horizontal="left" vertical="center"/>
    </xf>
    <xf numFmtId="3" fontId="15" fillId="0" borderId="5" xfId="0" applyNumberFormat="1" applyFont="1" applyBorder="1" applyAlignment="1">
      <alignment horizontal="center" vertical="center"/>
    </xf>
  </cellXfs>
  <cellStyles count="6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FFCCFF"/>
      <color rgb="FFCCFF99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474662</xdr:colOff>
      <xdr:row>25</xdr:row>
      <xdr:rowOff>50806</xdr:rowOff>
    </xdr:from>
    <xdr:to>
      <xdr:col>5</xdr:col>
      <xdr:colOff>1065212</xdr:colOff>
      <xdr:row>29</xdr:row>
      <xdr:rowOff>109544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2C860-FE89-30E9-A857-2E2F221850F0}"/>
            </a:ext>
          </a:extLst>
        </xdr:cNvPr>
        <xdr:cNvSpPr txBox="1"/>
      </xdr:nvSpPr>
      <xdr:spPr>
        <a:xfrm>
          <a:off x="5459412" y="6003931"/>
          <a:ext cx="3805238" cy="63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上記赤枠については、団体の決算資料が</a:t>
          </a:r>
          <a:r>
            <a:rPr kumimoji="1" lang="en-US" altLang="ja-JP" sz="1100"/>
            <a:t>HP</a:t>
          </a:r>
          <a:r>
            <a:rPr kumimoji="1" lang="ja-JP" altLang="en-US" sz="1100"/>
            <a:t>等から確認できなかったため、空白としています。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</xdr:colOff>
      <xdr:row>5</xdr:row>
      <xdr:rowOff>121920</xdr:rowOff>
    </xdr:from>
    <xdr:to>
      <xdr:col>1</xdr:col>
      <xdr:colOff>1920240</xdr:colOff>
      <xdr:row>5</xdr:row>
      <xdr:rowOff>617220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11655" y="1143000"/>
          <a:ext cx="1678305" cy="49530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該当無し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8102-247C-4998-8923-E7BAFCDE875F}">
  <sheetPr>
    <tabColor rgb="FFFFCCFF"/>
    <pageSetUpPr fitToPage="1"/>
  </sheetPr>
  <dimension ref="A1:H23"/>
  <sheetViews>
    <sheetView tabSelected="1" view="pageBreakPreview" zoomScaleNormal="100" zoomScaleSheetLayoutView="100" workbookViewId="0"/>
  </sheetViews>
  <sheetFormatPr defaultColWidth="9.7265625" defaultRowHeight="11"/>
  <cols>
    <col min="1" max="1" width="15.08984375" style="12" customWidth="1"/>
    <col min="2" max="8" width="17.26953125" style="12" customWidth="1"/>
    <col min="9" max="16384" width="9.7265625" style="12"/>
  </cols>
  <sheetData>
    <row r="1" spans="1:8" ht="21" customHeight="1">
      <c r="A1" s="67" t="s">
        <v>281</v>
      </c>
      <c r="B1" s="67"/>
      <c r="C1" s="67"/>
      <c r="D1" s="67"/>
      <c r="E1" s="67"/>
      <c r="F1" s="67"/>
      <c r="G1" s="67"/>
      <c r="H1" s="67"/>
    </row>
    <row r="2" spans="1:8" ht="13" customHeight="1">
      <c r="A2" s="19" t="str">
        <f>〇投資及び出資金の明細!$A$2</f>
        <v>自治体名：清瀬市　一般会計等</v>
      </c>
      <c r="B2" s="13"/>
      <c r="C2" s="13"/>
      <c r="D2" s="13"/>
      <c r="E2" s="13"/>
      <c r="F2" s="13"/>
      <c r="G2" s="13"/>
      <c r="H2" s="14"/>
    </row>
    <row r="3" spans="1:8" ht="13" customHeight="1">
      <c r="A3" s="19" t="str">
        <f>〇投資及び出資金の明細!$A$3</f>
        <v>年度：令和６年度</v>
      </c>
      <c r="B3" s="13"/>
      <c r="C3" s="13"/>
      <c r="D3" s="13"/>
      <c r="E3" s="13"/>
      <c r="F3" s="13"/>
      <c r="G3" s="13"/>
      <c r="H3" s="13"/>
    </row>
    <row r="4" spans="1:8" ht="13" customHeight="1">
      <c r="A4" s="13"/>
      <c r="B4" s="13"/>
      <c r="C4" s="13"/>
      <c r="D4" s="13"/>
      <c r="E4" s="13"/>
      <c r="F4" s="13"/>
      <c r="G4" s="13"/>
      <c r="H4" s="14" t="s">
        <v>163</v>
      </c>
    </row>
    <row r="5" spans="1:8" ht="33">
      <c r="A5" s="62" t="s">
        <v>91</v>
      </c>
      <c r="B5" s="63" t="s">
        <v>181</v>
      </c>
      <c r="C5" s="63" t="s">
        <v>180</v>
      </c>
      <c r="D5" s="63" t="s">
        <v>179</v>
      </c>
      <c r="E5" s="63" t="s">
        <v>178</v>
      </c>
      <c r="F5" s="63" t="s">
        <v>177</v>
      </c>
      <c r="G5" s="63" t="s">
        <v>176</v>
      </c>
      <c r="H5" s="63" t="s">
        <v>175</v>
      </c>
    </row>
    <row r="6" spans="1:8">
      <c r="A6" s="15" t="s">
        <v>174</v>
      </c>
      <c r="B6" s="16">
        <v>78171469472</v>
      </c>
      <c r="C6" s="16">
        <v>2087292617</v>
      </c>
      <c r="D6" s="16">
        <v>509069043</v>
      </c>
      <c r="E6" s="16">
        <v>79749693046</v>
      </c>
      <c r="F6" s="16">
        <v>21576299938</v>
      </c>
      <c r="G6" s="16">
        <v>995418945</v>
      </c>
      <c r="H6" s="16">
        <v>58173393108</v>
      </c>
    </row>
    <row r="7" spans="1:8">
      <c r="A7" s="15" t="s">
        <v>173</v>
      </c>
      <c r="B7" s="16">
        <v>35467759102</v>
      </c>
      <c r="C7" s="16">
        <v>605057701</v>
      </c>
      <c r="D7" s="16">
        <v>38033870</v>
      </c>
      <c r="E7" s="16">
        <v>36034782933</v>
      </c>
      <c r="F7" s="16" t="s">
        <v>196</v>
      </c>
      <c r="G7" s="16" t="s">
        <v>196</v>
      </c>
      <c r="H7" s="16">
        <v>36034782933</v>
      </c>
    </row>
    <row r="8" spans="1:8">
      <c r="A8" s="15" t="s">
        <v>172</v>
      </c>
      <c r="B8" s="16" t="s">
        <v>196</v>
      </c>
      <c r="C8" s="16" t="s">
        <v>196</v>
      </c>
      <c r="D8" s="16" t="s">
        <v>196</v>
      </c>
      <c r="E8" s="16" t="s">
        <v>196</v>
      </c>
      <c r="F8" s="16" t="s">
        <v>196</v>
      </c>
      <c r="G8" s="16" t="s">
        <v>196</v>
      </c>
      <c r="H8" s="16" t="s">
        <v>196</v>
      </c>
    </row>
    <row r="9" spans="1:8">
      <c r="A9" s="15" t="s">
        <v>171</v>
      </c>
      <c r="B9" s="16">
        <v>39517385702</v>
      </c>
      <c r="C9" s="16">
        <v>866530207</v>
      </c>
      <c r="D9" s="16">
        <v>72953053</v>
      </c>
      <c r="E9" s="16">
        <v>40310962856</v>
      </c>
      <c r="F9" s="16">
        <v>19761719261</v>
      </c>
      <c r="G9" s="16">
        <v>868627971</v>
      </c>
      <c r="H9" s="16">
        <v>20549243595</v>
      </c>
    </row>
    <row r="10" spans="1:8">
      <c r="A10" s="15" t="s">
        <v>170</v>
      </c>
      <c r="B10" s="16">
        <v>3047708884</v>
      </c>
      <c r="C10" s="16">
        <v>65387709</v>
      </c>
      <c r="D10" s="16">
        <v>398082120</v>
      </c>
      <c r="E10" s="16">
        <v>2715014473</v>
      </c>
      <c r="F10" s="16">
        <v>1814580677</v>
      </c>
      <c r="G10" s="16">
        <v>126790974</v>
      </c>
      <c r="H10" s="16">
        <v>900433796</v>
      </c>
    </row>
    <row r="11" spans="1:8">
      <c r="A11" s="15" t="s">
        <v>169</v>
      </c>
      <c r="B11" s="16" t="s">
        <v>196</v>
      </c>
      <c r="C11" s="16" t="s">
        <v>196</v>
      </c>
      <c r="D11" s="16" t="s">
        <v>196</v>
      </c>
      <c r="E11" s="16" t="s">
        <v>196</v>
      </c>
      <c r="F11" s="16" t="s">
        <v>196</v>
      </c>
      <c r="G11" s="16" t="s">
        <v>196</v>
      </c>
      <c r="H11" s="16" t="s">
        <v>196</v>
      </c>
    </row>
    <row r="12" spans="1:8">
      <c r="A12" s="15" t="s">
        <v>168</v>
      </c>
      <c r="B12" s="16" t="s">
        <v>196</v>
      </c>
      <c r="C12" s="16" t="s">
        <v>196</v>
      </c>
      <c r="D12" s="16" t="s">
        <v>196</v>
      </c>
      <c r="E12" s="16" t="s">
        <v>196</v>
      </c>
      <c r="F12" s="16" t="s">
        <v>196</v>
      </c>
      <c r="G12" s="16" t="s">
        <v>196</v>
      </c>
      <c r="H12" s="16" t="s">
        <v>196</v>
      </c>
    </row>
    <row r="13" spans="1:8">
      <c r="A13" s="15" t="s">
        <v>167</v>
      </c>
      <c r="B13" s="16" t="s">
        <v>196</v>
      </c>
      <c r="C13" s="16" t="s">
        <v>196</v>
      </c>
      <c r="D13" s="16" t="s">
        <v>196</v>
      </c>
      <c r="E13" s="16" t="s">
        <v>196</v>
      </c>
      <c r="F13" s="16" t="s">
        <v>196</v>
      </c>
      <c r="G13" s="16" t="s">
        <v>196</v>
      </c>
      <c r="H13" s="16" t="s">
        <v>196</v>
      </c>
    </row>
    <row r="14" spans="1:8">
      <c r="A14" s="15" t="s">
        <v>44</v>
      </c>
      <c r="B14" s="16" t="s">
        <v>196</v>
      </c>
      <c r="C14" s="16" t="s">
        <v>196</v>
      </c>
      <c r="D14" s="16" t="s">
        <v>196</v>
      </c>
      <c r="E14" s="16" t="s">
        <v>196</v>
      </c>
      <c r="F14" s="16" t="s">
        <v>196</v>
      </c>
      <c r="G14" s="16" t="s">
        <v>196</v>
      </c>
      <c r="H14" s="16" t="s">
        <v>196</v>
      </c>
    </row>
    <row r="15" spans="1:8">
      <c r="A15" s="15" t="s">
        <v>166</v>
      </c>
      <c r="B15" s="16">
        <v>138615784</v>
      </c>
      <c r="C15" s="16">
        <v>550317000</v>
      </c>
      <c r="D15" s="16" t="s">
        <v>196</v>
      </c>
      <c r="E15" s="16">
        <v>688932784</v>
      </c>
      <c r="F15" s="16" t="s">
        <v>196</v>
      </c>
      <c r="G15" s="16" t="s">
        <v>196</v>
      </c>
      <c r="H15" s="16">
        <v>688932784</v>
      </c>
    </row>
    <row r="16" spans="1:8">
      <c r="A16" s="15" t="s">
        <v>165</v>
      </c>
      <c r="B16" s="16">
        <v>63527285638</v>
      </c>
      <c r="C16" s="16">
        <v>1156265187</v>
      </c>
      <c r="D16" s="16">
        <v>1</v>
      </c>
      <c r="E16" s="16">
        <v>64683550824</v>
      </c>
      <c r="F16" s="16">
        <v>35960425874</v>
      </c>
      <c r="G16" s="16">
        <v>1151905169</v>
      </c>
      <c r="H16" s="16">
        <v>28723124950</v>
      </c>
    </row>
    <row r="17" spans="1:8">
      <c r="A17" s="15" t="s">
        <v>173</v>
      </c>
      <c r="B17" s="16">
        <v>9414408685</v>
      </c>
      <c r="C17" s="16">
        <v>651119220</v>
      </c>
      <c r="D17" s="16">
        <v>1</v>
      </c>
      <c r="E17" s="16">
        <v>10065527904</v>
      </c>
      <c r="F17" s="16" t="s">
        <v>196</v>
      </c>
      <c r="G17" s="16" t="s">
        <v>196</v>
      </c>
      <c r="H17" s="16">
        <v>10065527904</v>
      </c>
    </row>
    <row r="18" spans="1:8">
      <c r="A18" s="15" t="s">
        <v>171</v>
      </c>
      <c r="B18" s="16">
        <v>226333446</v>
      </c>
      <c r="C18" s="16" t="s">
        <v>196</v>
      </c>
      <c r="D18" s="16" t="s">
        <v>196</v>
      </c>
      <c r="E18" s="16">
        <v>226333446</v>
      </c>
      <c r="F18" s="16">
        <v>165824425</v>
      </c>
      <c r="G18" s="16">
        <v>5691646</v>
      </c>
      <c r="H18" s="16">
        <v>60509021</v>
      </c>
    </row>
    <row r="19" spans="1:8">
      <c r="A19" s="15" t="s">
        <v>170</v>
      </c>
      <c r="B19" s="16">
        <v>53886543507</v>
      </c>
      <c r="C19" s="16">
        <v>491175967</v>
      </c>
      <c r="D19" s="16" t="s">
        <v>196</v>
      </c>
      <c r="E19" s="16">
        <v>54377719474</v>
      </c>
      <c r="F19" s="16">
        <v>35794601449</v>
      </c>
      <c r="G19" s="16">
        <v>1146213523</v>
      </c>
      <c r="H19" s="16">
        <v>18583118025</v>
      </c>
    </row>
    <row r="20" spans="1:8">
      <c r="A20" s="15" t="s">
        <v>44</v>
      </c>
      <c r="B20" s="16" t="s">
        <v>196</v>
      </c>
      <c r="C20" s="16" t="s">
        <v>196</v>
      </c>
      <c r="D20" s="16" t="s">
        <v>196</v>
      </c>
      <c r="E20" s="16" t="s">
        <v>196</v>
      </c>
      <c r="F20" s="16" t="s">
        <v>196</v>
      </c>
      <c r="G20" s="16" t="s">
        <v>196</v>
      </c>
      <c r="H20" s="16" t="s">
        <v>196</v>
      </c>
    </row>
    <row r="21" spans="1:8">
      <c r="A21" s="15" t="s">
        <v>166</v>
      </c>
      <c r="B21" s="16" t="s">
        <v>196</v>
      </c>
      <c r="C21" s="16">
        <v>13970000</v>
      </c>
      <c r="D21" s="16" t="s">
        <v>196</v>
      </c>
      <c r="E21" s="16">
        <v>13970000</v>
      </c>
      <c r="F21" s="16" t="s">
        <v>196</v>
      </c>
      <c r="G21" s="16" t="s">
        <v>196</v>
      </c>
      <c r="H21" s="16">
        <v>13970000</v>
      </c>
    </row>
    <row r="22" spans="1:8">
      <c r="A22" s="15" t="s">
        <v>164</v>
      </c>
      <c r="B22" s="16">
        <v>2208064485</v>
      </c>
      <c r="C22" s="16">
        <v>67432970</v>
      </c>
      <c r="D22" s="16">
        <v>813399414</v>
      </c>
      <c r="E22" s="16">
        <v>1462098041</v>
      </c>
      <c r="F22" s="16">
        <v>847999948</v>
      </c>
      <c r="G22" s="16">
        <v>72527707</v>
      </c>
      <c r="H22" s="16">
        <v>614098093</v>
      </c>
    </row>
    <row r="23" spans="1:8">
      <c r="A23" s="15" t="s">
        <v>9</v>
      </c>
      <c r="B23" s="16">
        <v>143906819595</v>
      </c>
      <c r="C23" s="16">
        <v>3310990774</v>
      </c>
      <c r="D23" s="16">
        <v>1322468458</v>
      </c>
      <c r="E23" s="16">
        <v>145895341911</v>
      </c>
      <c r="F23" s="16">
        <v>58384725760</v>
      </c>
      <c r="G23" s="16">
        <v>2219851821</v>
      </c>
      <c r="H23" s="16">
        <v>87510616151</v>
      </c>
    </row>
  </sheetData>
  <phoneticPr fontId="4"/>
  <pageMargins left="0.3888888888888889" right="0.3888888888888889" top="0.3888888888888889" bottom="0.3888888888888889" header="0.19444444444444445" footer="0.19444444444444445"/>
  <pageSetup paperSize="9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A3FB-308B-4F6D-8B54-A733BD71E466}">
  <dimension ref="A1:R41"/>
  <sheetViews>
    <sheetView zoomScale="70" zoomScaleNormal="7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3"/>
  <cols>
    <col min="2" max="2" width="5.08984375" customWidth="1"/>
    <col min="3" max="3" width="37" customWidth="1"/>
    <col min="4" max="4" width="18.26953125" customWidth="1"/>
    <col min="5" max="8" width="11.453125" style="83" customWidth="1"/>
    <col min="9" max="14" width="12" customWidth="1"/>
    <col min="15" max="16" width="15.453125" customWidth="1"/>
    <col min="17" max="17" width="6.08984375" customWidth="1"/>
  </cols>
  <sheetData>
    <row r="1" spans="1:18">
      <c r="A1" t="s">
        <v>290</v>
      </c>
      <c r="C1" s="87" t="s">
        <v>255</v>
      </c>
    </row>
    <row r="2" spans="1:18">
      <c r="C2" s="88" t="s">
        <v>232</v>
      </c>
      <c r="O2" s="108" t="s">
        <v>269</v>
      </c>
    </row>
    <row r="3" spans="1:18">
      <c r="C3" s="89" t="s">
        <v>233</v>
      </c>
      <c r="O3" s="114" t="s">
        <v>272</v>
      </c>
      <c r="P3" s="110" t="s">
        <v>270</v>
      </c>
    </row>
    <row r="4" spans="1:18">
      <c r="C4" s="105" t="s">
        <v>267</v>
      </c>
      <c r="O4" s="106">
        <v>17546938018</v>
      </c>
      <c r="P4" s="109">
        <f>(E39*1000)-P39-O4</f>
        <v>-333</v>
      </c>
    </row>
    <row r="5" spans="1:18" s="84" customFormat="1" ht="16.5" customHeight="1">
      <c r="C5"/>
      <c r="E5" s="85"/>
      <c r="F5" s="85"/>
      <c r="H5" s="85"/>
      <c r="N5"/>
      <c r="O5" s="108"/>
    </row>
    <row r="6" spans="1:18" s="86" customFormat="1" ht="26.5" customHeight="1">
      <c r="B6" s="101"/>
      <c r="C6" s="94" t="s">
        <v>214</v>
      </c>
      <c r="D6" s="94" t="s">
        <v>215</v>
      </c>
      <c r="E6" s="95" t="s">
        <v>289</v>
      </c>
      <c r="F6" s="95" t="s">
        <v>231</v>
      </c>
      <c r="G6" s="102" t="s">
        <v>234</v>
      </c>
      <c r="H6" s="95" t="s">
        <v>231</v>
      </c>
      <c r="I6" s="96" t="s">
        <v>226</v>
      </c>
      <c r="J6" s="96" t="s">
        <v>227</v>
      </c>
      <c r="K6" s="96" t="s">
        <v>228</v>
      </c>
      <c r="L6" s="96" t="s">
        <v>229</v>
      </c>
      <c r="M6" s="96" t="s">
        <v>230</v>
      </c>
      <c r="N6" s="107" t="s">
        <v>145</v>
      </c>
      <c r="O6" s="96" t="s">
        <v>279</v>
      </c>
      <c r="P6" s="96" t="s">
        <v>268</v>
      </c>
    </row>
    <row r="7" spans="1:18">
      <c r="B7" s="97">
        <v>1</v>
      </c>
      <c r="C7" s="97" t="s">
        <v>220</v>
      </c>
      <c r="D7" s="92" t="s">
        <v>256</v>
      </c>
      <c r="E7" s="93">
        <v>534937</v>
      </c>
      <c r="F7" s="100">
        <f>E7/$E$39</f>
        <v>2.7568993217435098E-2</v>
      </c>
      <c r="G7" s="99">
        <f>E7-I7</f>
        <v>155456</v>
      </c>
      <c r="H7" s="100">
        <f>G7/$G$39</f>
        <v>1.2506092915115265E-2</v>
      </c>
      <c r="I7" s="93">
        <v>379481</v>
      </c>
      <c r="J7" s="99">
        <f t="shared" ref="J7:J13" si="0">ROUND(H7*$J$39,0)</f>
        <v>80386</v>
      </c>
      <c r="K7" s="99">
        <f>ROUND(H7*$K$39,0)</f>
        <v>17544</v>
      </c>
      <c r="L7" s="99">
        <f>ROUND(H7*$L$39,0)</f>
        <v>6912</v>
      </c>
      <c r="M7" s="99">
        <f>ROUND(H7*$M$39,0)</f>
        <v>0</v>
      </c>
      <c r="N7" s="112">
        <f>ROUND(H7*$N$39,0)</f>
        <v>50615</v>
      </c>
      <c r="O7" s="99">
        <f>(H7*$P$4)*-1</f>
        <v>4.1645289407333834</v>
      </c>
      <c r="P7" s="99">
        <f>ROUND(F7*$P$39,0)</f>
        <v>51185594</v>
      </c>
    </row>
    <row r="8" spans="1:18">
      <c r="B8" s="97">
        <v>2</v>
      </c>
      <c r="C8" s="97" t="s">
        <v>216</v>
      </c>
      <c r="D8" s="92" t="s">
        <v>256</v>
      </c>
      <c r="E8" s="90">
        <v>123411</v>
      </c>
      <c r="F8" s="100">
        <f t="shared" ref="F8:F37" si="1">E8/$E$39</f>
        <v>6.3602200295677491E-3</v>
      </c>
      <c r="G8" s="99">
        <f t="shared" ref="G8:G38" si="2">E8-I8</f>
        <v>0</v>
      </c>
      <c r="H8" s="100">
        <f>G8/$G$39</f>
        <v>0</v>
      </c>
      <c r="I8" s="90">
        <v>123411</v>
      </c>
      <c r="J8" s="99">
        <f t="shared" si="0"/>
        <v>0</v>
      </c>
      <c r="K8" s="99">
        <f>ROUND(H8*$K$39,0)</f>
        <v>0</v>
      </c>
      <c r="L8" s="99">
        <f>ROUND(H8*$L$39,0)</f>
        <v>0</v>
      </c>
      <c r="M8" s="99">
        <f>ROUND(H8*$M$39,0)</f>
        <v>0</v>
      </c>
      <c r="N8" s="112">
        <f>ROUND(H8*$N$39,0)</f>
        <v>0</v>
      </c>
      <c r="O8" s="99">
        <f t="shared" ref="O8:O38" si="3">(H8*$P$4)*-1</f>
        <v>0</v>
      </c>
      <c r="P8" s="99">
        <f t="shared" ref="P8:P38" si="4">ROUND(F8*$P$39,0)</f>
        <v>11808615</v>
      </c>
      <c r="R8" t="s">
        <v>215</v>
      </c>
    </row>
    <row r="9" spans="1:18">
      <c r="B9" s="97">
        <v>3</v>
      </c>
      <c r="C9" s="97" t="s">
        <v>221</v>
      </c>
      <c r="D9" s="92" t="s">
        <v>257</v>
      </c>
      <c r="E9" s="90">
        <v>0</v>
      </c>
      <c r="F9" s="100">
        <f t="shared" si="1"/>
        <v>0</v>
      </c>
      <c r="G9" s="99">
        <f t="shared" si="2"/>
        <v>0</v>
      </c>
      <c r="H9" s="100">
        <f>G9/$G$39</f>
        <v>0</v>
      </c>
      <c r="I9" s="90">
        <v>0</v>
      </c>
      <c r="J9" s="99">
        <f t="shared" si="0"/>
        <v>0</v>
      </c>
      <c r="K9" s="99">
        <f t="shared" ref="K9:K38" si="5">ROUND(H9*$K$39,0)</f>
        <v>0</v>
      </c>
      <c r="L9" s="99">
        <f t="shared" ref="L9:L38" si="6">ROUND(H9*$L$39,0)</f>
        <v>0</v>
      </c>
      <c r="M9" s="99">
        <f t="shared" ref="M9:M38" si="7">ROUND(H9*$M$39,0)</f>
        <v>0</v>
      </c>
      <c r="N9" s="112">
        <f t="shared" ref="N9:N38" si="8">ROUND(H9*$N$39,0)</f>
        <v>0</v>
      </c>
      <c r="O9" s="99">
        <f t="shared" si="3"/>
        <v>0</v>
      </c>
      <c r="P9" s="99">
        <f t="shared" si="4"/>
        <v>0</v>
      </c>
      <c r="R9" t="s">
        <v>256</v>
      </c>
    </row>
    <row r="10" spans="1:18">
      <c r="B10" s="97">
        <v>4</v>
      </c>
      <c r="C10" s="97" t="s">
        <v>235</v>
      </c>
      <c r="D10" s="92"/>
      <c r="E10" s="90">
        <v>0</v>
      </c>
      <c r="F10" s="100">
        <f t="shared" si="1"/>
        <v>0</v>
      </c>
      <c r="G10" s="99">
        <f t="shared" si="2"/>
        <v>0</v>
      </c>
      <c r="H10" s="100">
        <f t="shared" ref="H10:H38" si="9">G10/$G$39</f>
        <v>0</v>
      </c>
      <c r="I10" s="90">
        <v>0</v>
      </c>
      <c r="J10" s="99">
        <f t="shared" si="0"/>
        <v>0</v>
      </c>
      <c r="K10" s="99">
        <f t="shared" si="5"/>
        <v>0</v>
      </c>
      <c r="L10" s="99">
        <f t="shared" si="6"/>
        <v>0</v>
      </c>
      <c r="M10" s="99">
        <f t="shared" si="7"/>
        <v>0</v>
      </c>
      <c r="N10" s="112">
        <f t="shared" si="8"/>
        <v>0</v>
      </c>
      <c r="O10" s="99">
        <f t="shared" si="3"/>
        <v>0</v>
      </c>
      <c r="P10" s="99">
        <f t="shared" si="4"/>
        <v>0</v>
      </c>
      <c r="R10" t="s">
        <v>257</v>
      </c>
    </row>
    <row r="11" spans="1:18">
      <c r="B11" s="97">
        <v>5</v>
      </c>
      <c r="C11" s="97" t="s">
        <v>236</v>
      </c>
      <c r="D11" s="92"/>
      <c r="E11" s="90">
        <v>0</v>
      </c>
      <c r="F11" s="100">
        <f t="shared" si="1"/>
        <v>0</v>
      </c>
      <c r="G11" s="99">
        <f t="shared" si="2"/>
        <v>0</v>
      </c>
      <c r="H11" s="100">
        <f t="shared" si="9"/>
        <v>0</v>
      </c>
      <c r="I11" s="90">
        <v>0</v>
      </c>
      <c r="J11" s="99">
        <f t="shared" si="0"/>
        <v>0</v>
      </c>
      <c r="K11" s="99">
        <f t="shared" si="5"/>
        <v>0</v>
      </c>
      <c r="L11" s="99">
        <f t="shared" si="6"/>
        <v>0</v>
      </c>
      <c r="M11" s="99">
        <f t="shared" si="7"/>
        <v>0</v>
      </c>
      <c r="N11" s="112">
        <f t="shared" si="8"/>
        <v>0</v>
      </c>
      <c r="O11" s="99">
        <f t="shared" si="3"/>
        <v>0</v>
      </c>
      <c r="P11" s="99">
        <f t="shared" si="4"/>
        <v>0</v>
      </c>
      <c r="R11" t="s">
        <v>258</v>
      </c>
    </row>
    <row r="12" spans="1:18">
      <c r="B12" s="97">
        <v>6</v>
      </c>
      <c r="C12" s="97" t="s">
        <v>217</v>
      </c>
      <c r="D12" s="92" t="s">
        <v>261</v>
      </c>
      <c r="E12" s="90">
        <v>1507</v>
      </c>
      <c r="F12" s="100">
        <f t="shared" si="1"/>
        <v>7.7666104192969815E-5</v>
      </c>
      <c r="G12" s="99">
        <f t="shared" si="2"/>
        <v>0</v>
      </c>
      <c r="H12" s="100">
        <f t="shared" si="9"/>
        <v>0</v>
      </c>
      <c r="I12" s="90">
        <v>1507</v>
      </c>
      <c r="J12" s="99">
        <f t="shared" si="0"/>
        <v>0</v>
      </c>
      <c r="K12" s="99">
        <f t="shared" si="5"/>
        <v>0</v>
      </c>
      <c r="L12" s="99">
        <f t="shared" si="6"/>
        <v>0</v>
      </c>
      <c r="M12" s="99">
        <f t="shared" si="7"/>
        <v>0</v>
      </c>
      <c r="N12" s="112">
        <f t="shared" si="8"/>
        <v>0</v>
      </c>
      <c r="O12" s="99">
        <f t="shared" si="3"/>
        <v>0</v>
      </c>
      <c r="P12" s="99">
        <f t="shared" si="4"/>
        <v>144198</v>
      </c>
      <c r="R12" t="s">
        <v>259</v>
      </c>
    </row>
    <row r="13" spans="1:18">
      <c r="B13" s="97">
        <v>7</v>
      </c>
      <c r="C13" s="97" t="s">
        <v>218</v>
      </c>
      <c r="D13" s="92" t="s">
        <v>259</v>
      </c>
      <c r="E13" s="90">
        <v>1634048</v>
      </c>
      <c r="F13" s="100">
        <f t="shared" si="1"/>
        <v>8.4213763917925635E-2</v>
      </c>
      <c r="G13" s="99">
        <f t="shared" si="2"/>
        <v>701519</v>
      </c>
      <c r="H13" s="100">
        <f t="shared" si="9"/>
        <v>5.6435658937054503E-2</v>
      </c>
      <c r="I13" s="90">
        <v>932529</v>
      </c>
      <c r="J13" s="99">
        <f t="shared" si="0"/>
        <v>362752</v>
      </c>
      <c r="K13" s="99">
        <f t="shared" si="5"/>
        <v>79169</v>
      </c>
      <c r="L13" s="99">
        <f t="shared" si="6"/>
        <v>31190</v>
      </c>
      <c r="M13" s="99">
        <f t="shared" si="7"/>
        <v>0</v>
      </c>
      <c r="N13" s="112">
        <f t="shared" si="8"/>
        <v>228408</v>
      </c>
      <c r="O13" s="99">
        <f t="shared" si="3"/>
        <v>18.793074426039148</v>
      </c>
      <c r="P13" s="99">
        <f t="shared" si="4"/>
        <v>156354332</v>
      </c>
      <c r="R13" t="s">
        <v>260</v>
      </c>
    </row>
    <row r="14" spans="1:18">
      <c r="B14" s="97">
        <v>8</v>
      </c>
      <c r="C14" s="97" t="s">
        <v>222</v>
      </c>
      <c r="D14" s="92" t="s">
        <v>260</v>
      </c>
      <c r="E14" s="90">
        <v>6177668</v>
      </c>
      <c r="F14" s="100">
        <f t="shared" si="1"/>
        <v>0.31837784111318873</v>
      </c>
      <c r="G14" s="99">
        <f t="shared" si="2"/>
        <v>6090668</v>
      </c>
      <c r="H14" s="100">
        <f t="shared" si="9"/>
        <v>0.48998083009416976</v>
      </c>
      <c r="I14" s="90">
        <v>87000</v>
      </c>
      <c r="J14" s="99">
        <f t="shared" ref="J14:J38" si="10">ROUND(H14*$J$39,0)</f>
        <v>3149453</v>
      </c>
      <c r="K14" s="99">
        <f t="shared" si="5"/>
        <v>687354</v>
      </c>
      <c r="L14" s="99">
        <f t="shared" si="6"/>
        <v>270798</v>
      </c>
      <c r="M14" s="99">
        <f t="shared" si="7"/>
        <v>0</v>
      </c>
      <c r="N14" s="112">
        <f t="shared" si="8"/>
        <v>1983063</v>
      </c>
      <c r="O14" s="99">
        <f t="shared" si="3"/>
        <v>163.16361642135854</v>
      </c>
      <c r="P14" s="99">
        <f t="shared" si="4"/>
        <v>591111862</v>
      </c>
      <c r="R14" t="s">
        <v>261</v>
      </c>
    </row>
    <row r="15" spans="1:18">
      <c r="B15" s="97">
        <v>9</v>
      </c>
      <c r="C15" s="97" t="s">
        <v>237</v>
      </c>
      <c r="D15" s="92"/>
      <c r="E15" s="90">
        <v>0</v>
      </c>
      <c r="F15" s="100">
        <f t="shared" si="1"/>
        <v>0</v>
      </c>
      <c r="G15" s="99">
        <f t="shared" si="2"/>
        <v>0</v>
      </c>
      <c r="H15" s="100">
        <f t="shared" si="9"/>
        <v>0</v>
      </c>
      <c r="I15" s="90">
        <v>0</v>
      </c>
      <c r="J15" s="99">
        <f t="shared" si="10"/>
        <v>0</v>
      </c>
      <c r="K15" s="99">
        <f t="shared" si="5"/>
        <v>0</v>
      </c>
      <c r="L15" s="99">
        <f t="shared" si="6"/>
        <v>0</v>
      </c>
      <c r="M15" s="99">
        <f t="shared" si="7"/>
        <v>0</v>
      </c>
      <c r="N15" s="112">
        <f t="shared" si="8"/>
        <v>0</v>
      </c>
      <c r="O15" s="99">
        <f t="shared" si="3"/>
        <v>0</v>
      </c>
      <c r="P15" s="99">
        <f t="shared" si="4"/>
        <v>0</v>
      </c>
      <c r="R15" t="s">
        <v>248</v>
      </c>
    </row>
    <row r="16" spans="1:18">
      <c r="B16" s="97">
        <v>10</v>
      </c>
      <c r="C16" s="97" t="s">
        <v>238</v>
      </c>
      <c r="D16" s="92"/>
      <c r="E16" s="90">
        <v>0</v>
      </c>
      <c r="F16" s="100">
        <f t="shared" si="1"/>
        <v>0</v>
      </c>
      <c r="G16" s="99">
        <f t="shared" si="2"/>
        <v>0</v>
      </c>
      <c r="H16" s="100">
        <f t="shared" si="9"/>
        <v>0</v>
      </c>
      <c r="I16" s="90">
        <v>0</v>
      </c>
      <c r="J16" s="99">
        <f t="shared" si="10"/>
        <v>0</v>
      </c>
      <c r="K16" s="99">
        <f t="shared" si="5"/>
        <v>0</v>
      </c>
      <c r="L16" s="99">
        <f t="shared" si="6"/>
        <v>0</v>
      </c>
      <c r="M16" s="99">
        <f t="shared" si="7"/>
        <v>0</v>
      </c>
      <c r="N16" s="112">
        <f t="shared" si="8"/>
        <v>0</v>
      </c>
      <c r="O16" s="99">
        <f t="shared" si="3"/>
        <v>0</v>
      </c>
      <c r="P16" s="99">
        <f t="shared" si="4"/>
        <v>0</v>
      </c>
      <c r="R16" t="s">
        <v>262</v>
      </c>
    </row>
    <row r="17" spans="2:18">
      <c r="B17" s="97">
        <v>11</v>
      </c>
      <c r="C17" s="97" t="s">
        <v>239</v>
      </c>
      <c r="D17" s="92"/>
      <c r="E17" s="90">
        <v>0</v>
      </c>
      <c r="F17" s="100">
        <f t="shared" si="1"/>
        <v>0</v>
      </c>
      <c r="G17" s="99">
        <f t="shared" si="2"/>
        <v>0</v>
      </c>
      <c r="H17" s="100">
        <f t="shared" si="9"/>
        <v>0</v>
      </c>
      <c r="I17" s="90">
        <v>0</v>
      </c>
      <c r="J17" s="99">
        <f t="shared" si="10"/>
        <v>0</v>
      </c>
      <c r="K17" s="99">
        <f t="shared" si="5"/>
        <v>0</v>
      </c>
      <c r="L17" s="99">
        <f t="shared" si="6"/>
        <v>0</v>
      </c>
      <c r="M17" s="99">
        <f t="shared" si="7"/>
        <v>0</v>
      </c>
      <c r="N17" s="112">
        <f t="shared" si="8"/>
        <v>0</v>
      </c>
      <c r="O17" s="99">
        <f t="shared" si="3"/>
        <v>0</v>
      </c>
      <c r="P17" s="99">
        <f t="shared" si="4"/>
        <v>0</v>
      </c>
      <c r="R17" t="s">
        <v>263</v>
      </c>
    </row>
    <row r="18" spans="2:18">
      <c r="B18" s="97">
        <v>12</v>
      </c>
      <c r="C18" s="97" t="s">
        <v>240</v>
      </c>
      <c r="D18" s="92"/>
      <c r="E18" s="90">
        <v>0</v>
      </c>
      <c r="F18" s="100">
        <f t="shared" si="1"/>
        <v>0</v>
      </c>
      <c r="G18" s="99">
        <f t="shared" si="2"/>
        <v>0</v>
      </c>
      <c r="H18" s="100">
        <f t="shared" si="9"/>
        <v>0</v>
      </c>
      <c r="I18" s="90">
        <v>0</v>
      </c>
      <c r="J18" s="99">
        <f t="shared" si="10"/>
        <v>0</v>
      </c>
      <c r="K18" s="99">
        <f t="shared" si="5"/>
        <v>0</v>
      </c>
      <c r="L18" s="99">
        <f t="shared" si="6"/>
        <v>0</v>
      </c>
      <c r="M18" s="99">
        <f t="shared" si="7"/>
        <v>0</v>
      </c>
      <c r="N18" s="112">
        <f t="shared" si="8"/>
        <v>0</v>
      </c>
      <c r="O18" s="99">
        <f t="shared" si="3"/>
        <v>0</v>
      </c>
      <c r="P18" s="99">
        <f t="shared" si="4"/>
        <v>0</v>
      </c>
      <c r="R18" t="s">
        <v>264</v>
      </c>
    </row>
    <row r="19" spans="2:18">
      <c r="B19" s="97">
        <v>13</v>
      </c>
      <c r="C19" s="97" t="s">
        <v>241</v>
      </c>
      <c r="D19" s="92"/>
      <c r="E19" s="90">
        <v>0</v>
      </c>
      <c r="F19" s="100">
        <f t="shared" si="1"/>
        <v>0</v>
      </c>
      <c r="G19" s="99">
        <f t="shared" si="2"/>
        <v>0</v>
      </c>
      <c r="H19" s="100">
        <f t="shared" si="9"/>
        <v>0</v>
      </c>
      <c r="I19" s="90">
        <v>0</v>
      </c>
      <c r="J19" s="99">
        <f t="shared" si="10"/>
        <v>0</v>
      </c>
      <c r="K19" s="99">
        <f t="shared" si="5"/>
        <v>0</v>
      </c>
      <c r="L19" s="99">
        <f t="shared" si="6"/>
        <v>0</v>
      </c>
      <c r="M19" s="99">
        <f t="shared" si="7"/>
        <v>0</v>
      </c>
      <c r="N19" s="112">
        <f t="shared" si="8"/>
        <v>0</v>
      </c>
      <c r="O19" s="99">
        <f t="shared" si="3"/>
        <v>0</v>
      </c>
      <c r="P19" s="99">
        <f t="shared" si="4"/>
        <v>0</v>
      </c>
    </row>
    <row r="20" spans="2:18">
      <c r="B20" s="97"/>
      <c r="C20" s="97" t="s">
        <v>242</v>
      </c>
      <c r="D20" s="92"/>
      <c r="E20" s="90">
        <v>0</v>
      </c>
      <c r="F20" s="100">
        <f t="shared" si="1"/>
        <v>0</v>
      </c>
      <c r="G20" s="99">
        <f t="shared" si="2"/>
        <v>0</v>
      </c>
      <c r="H20" s="100">
        <f t="shared" si="9"/>
        <v>0</v>
      </c>
      <c r="I20" s="90">
        <v>0</v>
      </c>
      <c r="J20" s="99">
        <f t="shared" si="10"/>
        <v>0</v>
      </c>
      <c r="K20" s="99">
        <f t="shared" si="5"/>
        <v>0</v>
      </c>
      <c r="L20" s="99">
        <f t="shared" si="6"/>
        <v>0</v>
      </c>
      <c r="M20" s="99">
        <f t="shared" si="7"/>
        <v>0</v>
      </c>
      <c r="N20" s="112">
        <f t="shared" si="8"/>
        <v>0</v>
      </c>
      <c r="O20" s="99">
        <f t="shared" si="3"/>
        <v>0</v>
      </c>
      <c r="P20" s="99">
        <f t="shared" si="4"/>
        <v>0</v>
      </c>
    </row>
    <row r="21" spans="2:18">
      <c r="B21" s="97">
        <v>14</v>
      </c>
      <c r="C21" s="97" t="s">
        <v>243</v>
      </c>
      <c r="D21" s="92"/>
      <c r="E21" s="90">
        <v>0</v>
      </c>
      <c r="F21" s="100">
        <f t="shared" si="1"/>
        <v>0</v>
      </c>
      <c r="G21" s="99">
        <f t="shared" si="2"/>
        <v>0</v>
      </c>
      <c r="H21" s="100">
        <f t="shared" si="9"/>
        <v>0</v>
      </c>
      <c r="I21" s="90">
        <v>0</v>
      </c>
      <c r="J21" s="99">
        <f t="shared" si="10"/>
        <v>0</v>
      </c>
      <c r="K21" s="99">
        <f t="shared" si="5"/>
        <v>0</v>
      </c>
      <c r="L21" s="99">
        <f t="shared" si="6"/>
        <v>0</v>
      </c>
      <c r="M21" s="99">
        <f t="shared" si="7"/>
        <v>0</v>
      </c>
      <c r="N21" s="112">
        <f t="shared" si="8"/>
        <v>0</v>
      </c>
      <c r="O21" s="99">
        <f t="shared" si="3"/>
        <v>0</v>
      </c>
      <c r="P21" s="99">
        <f t="shared" si="4"/>
        <v>0</v>
      </c>
    </row>
    <row r="22" spans="2:18">
      <c r="B22" s="97">
        <v>15</v>
      </c>
      <c r="C22" s="97" t="s">
        <v>244</v>
      </c>
      <c r="D22" s="92"/>
      <c r="E22" s="90">
        <v>0</v>
      </c>
      <c r="F22" s="100">
        <f t="shared" si="1"/>
        <v>0</v>
      </c>
      <c r="G22" s="99">
        <f t="shared" si="2"/>
        <v>0</v>
      </c>
      <c r="H22" s="100">
        <f t="shared" si="9"/>
        <v>0</v>
      </c>
      <c r="I22" s="90">
        <v>0</v>
      </c>
      <c r="J22" s="99">
        <f t="shared" si="10"/>
        <v>0</v>
      </c>
      <c r="K22" s="99">
        <f t="shared" si="5"/>
        <v>0</v>
      </c>
      <c r="L22" s="99">
        <f t="shared" si="6"/>
        <v>0</v>
      </c>
      <c r="M22" s="99">
        <f t="shared" si="7"/>
        <v>0</v>
      </c>
      <c r="N22" s="112">
        <f t="shared" si="8"/>
        <v>0</v>
      </c>
      <c r="O22" s="99">
        <f t="shared" si="3"/>
        <v>0</v>
      </c>
      <c r="P22" s="99">
        <f t="shared" si="4"/>
        <v>0</v>
      </c>
    </row>
    <row r="23" spans="2:18">
      <c r="B23" s="97">
        <v>16</v>
      </c>
      <c r="C23" s="97" t="s">
        <v>245</v>
      </c>
      <c r="D23" s="92"/>
      <c r="E23" s="90">
        <v>0</v>
      </c>
      <c r="F23" s="100">
        <f t="shared" si="1"/>
        <v>0</v>
      </c>
      <c r="G23" s="99">
        <f t="shared" si="2"/>
        <v>0</v>
      </c>
      <c r="H23" s="100">
        <f t="shared" si="9"/>
        <v>0</v>
      </c>
      <c r="I23" s="90">
        <v>0</v>
      </c>
      <c r="J23" s="99">
        <f t="shared" si="10"/>
        <v>0</v>
      </c>
      <c r="K23" s="99">
        <f t="shared" si="5"/>
        <v>0</v>
      </c>
      <c r="L23" s="99">
        <f t="shared" si="6"/>
        <v>0</v>
      </c>
      <c r="M23" s="99">
        <f t="shared" si="7"/>
        <v>0</v>
      </c>
      <c r="N23" s="112">
        <f t="shared" si="8"/>
        <v>0</v>
      </c>
      <c r="O23" s="99">
        <f t="shared" si="3"/>
        <v>0</v>
      </c>
      <c r="P23" s="99">
        <f t="shared" si="4"/>
        <v>0</v>
      </c>
    </row>
    <row r="24" spans="2:18">
      <c r="B24" s="97">
        <v>17</v>
      </c>
      <c r="C24" s="97" t="s">
        <v>246</v>
      </c>
      <c r="D24" s="92"/>
      <c r="E24" s="90">
        <v>0</v>
      </c>
      <c r="F24" s="100">
        <f t="shared" si="1"/>
        <v>0</v>
      </c>
      <c r="G24" s="99">
        <f t="shared" si="2"/>
        <v>0</v>
      </c>
      <c r="H24" s="100">
        <f t="shared" si="9"/>
        <v>0</v>
      </c>
      <c r="I24" s="90">
        <v>0</v>
      </c>
      <c r="J24" s="99">
        <f t="shared" si="10"/>
        <v>0</v>
      </c>
      <c r="K24" s="99">
        <f t="shared" si="5"/>
        <v>0</v>
      </c>
      <c r="L24" s="99">
        <f t="shared" si="6"/>
        <v>0</v>
      </c>
      <c r="M24" s="99">
        <f t="shared" si="7"/>
        <v>0</v>
      </c>
      <c r="N24" s="112">
        <f t="shared" si="8"/>
        <v>0</v>
      </c>
      <c r="O24" s="99">
        <f t="shared" si="3"/>
        <v>0</v>
      </c>
      <c r="P24" s="99">
        <f t="shared" si="4"/>
        <v>0</v>
      </c>
    </row>
    <row r="25" spans="2:18">
      <c r="B25" s="97">
        <v>18</v>
      </c>
      <c r="C25" s="97" t="s">
        <v>223</v>
      </c>
      <c r="D25" s="92" t="s">
        <v>264</v>
      </c>
      <c r="E25" s="90">
        <v>5733</v>
      </c>
      <c r="F25" s="100">
        <f t="shared" si="1"/>
        <v>2.9546103207584335E-4</v>
      </c>
      <c r="G25" s="99">
        <f t="shared" si="2"/>
        <v>4893</v>
      </c>
      <c r="H25" s="100">
        <f t="shared" si="9"/>
        <v>3.9363107653393238E-4</v>
      </c>
      <c r="I25" s="90">
        <v>840</v>
      </c>
      <c r="J25" s="99">
        <f t="shared" si="10"/>
        <v>2530</v>
      </c>
      <c r="K25" s="99">
        <f t="shared" si="5"/>
        <v>552</v>
      </c>
      <c r="L25" s="99">
        <f t="shared" si="6"/>
        <v>218</v>
      </c>
      <c r="M25" s="99">
        <f t="shared" si="7"/>
        <v>0</v>
      </c>
      <c r="N25" s="112">
        <f t="shared" si="8"/>
        <v>1593</v>
      </c>
      <c r="O25" s="99">
        <f t="shared" si="3"/>
        <v>0.13107914848579949</v>
      </c>
      <c r="P25" s="99">
        <f t="shared" si="4"/>
        <v>548564</v>
      </c>
    </row>
    <row r="26" spans="2:18">
      <c r="B26" s="97">
        <v>19</v>
      </c>
      <c r="C26" s="97" t="s">
        <v>219</v>
      </c>
      <c r="D26" s="92" t="s">
        <v>264</v>
      </c>
      <c r="E26" s="90">
        <v>39541</v>
      </c>
      <c r="F26" s="100">
        <f t="shared" si="1"/>
        <v>2.0378204551388317E-3</v>
      </c>
      <c r="G26" s="99">
        <f t="shared" si="2"/>
        <v>0</v>
      </c>
      <c r="H26" s="100">
        <f t="shared" si="9"/>
        <v>0</v>
      </c>
      <c r="I26" s="90">
        <v>39541</v>
      </c>
      <c r="J26" s="99">
        <f t="shared" si="10"/>
        <v>0</v>
      </c>
      <c r="K26" s="99">
        <f t="shared" si="5"/>
        <v>0</v>
      </c>
      <c r="L26" s="99">
        <f t="shared" si="6"/>
        <v>0</v>
      </c>
      <c r="M26" s="99">
        <f t="shared" si="7"/>
        <v>0</v>
      </c>
      <c r="N26" s="112">
        <f t="shared" si="8"/>
        <v>0</v>
      </c>
      <c r="O26" s="99">
        <f t="shared" si="3"/>
        <v>0</v>
      </c>
      <c r="P26" s="99">
        <f t="shared" si="4"/>
        <v>3783491</v>
      </c>
    </row>
    <row r="27" spans="2:18">
      <c r="B27" s="97">
        <v>20</v>
      </c>
      <c r="C27" s="97" t="s">
        <v>247</v>
      </c>
      <c r="D27" s="92"/>
      <c r="E27" s="90">
        <v>0</v>
      </c>
      <c r="F27" s="100">
        <f t="shared" si="1"/>
        <v>0</v>
      </c>
      <c r="G27" s="99">
        <f t="shared" si="2"/>
        <v>0</v>
      </c>
      <c r="H27" s="100">
        <f t="shared" si="9"/>
        <v>0</v>
      </c>
      <c r="I27" s="90">
        <v>0</v>
      </c>
      <c r="J27" s="99">
        <f t="shared" si="10"/>
        <v>0</v>
      </c>
      <c r="K27" s="99">
        <f t="shared" si="5"/>
        <v>0</v>
      </c>
      <c r="L27" s="99">
        <f t="shared" si="6"/>
        <v>0</v>
      </c>
      <c r="M27" s="99">
        <f t="shared" si="7"/>
        <v>0</v>
      </c>
      <c r="N27" s="112">
        <f t="shared" si="8"/>
        <v>0</v>
      </c>
      <c r="O27" s="99">
        <f t="shared" si="3"/>
        <v>0</v>
      </c>
      <c r="P27" s="99">
        <f t="shared" si="4"/>
        <v>0</v>
      </c>
    </row>
    <row r="28" spans="2:18">
      <c r="B28" s="97">
        <v>21</v>
      </c>
      <c r="C28" s="97" t="s">
        <v>250</v>
      </c>
      <c r="D28" s="92"/>
      <c r="E28" s="90">
        <v>0</v>
      </c>
      <c r="F28" s="100">
        <f t="shared" si="1"/>
        <v>0</v>
      </c>
      <c r="G28" s="99">
        <f t="shared" si="2"/>
        <v>0</v>
      </c>
      <c r="H28" s="100">
        <f t="shared" si="9"/>
        <v>0</v>
      </c>
      <c r="I28" s="90">
        <v>0</v>
      </c>
      <c r="J28" s="99">
        <f t="shared" si="10"/>
        <v>0</v>
      </c>
      <c r="K28" s="99">
        <f t="shared" si="5"/>
        <v>0</v>
      </c>
      <c r="L28" s="99">
        <f t="shared" si="6"/>
        <v>0</v>
      </c>
      <c r="M28" s="99">
        <f t="shared" si="7"/>
        <v>0</v>
      </c>
      <c r="N28" s="112">
        <f t="shared" si="8"/>
        <v>0</v>
      </c>
      <c r="O28" s="99">
        <f t="shared" si="3"/>
        <v>0</v>
      </c>
      <c r="P28" s="99">
        <f t="shared" si="4"/>
        <v>0</v>
      </c>
    </row>
    <row r="29" spans="2:18">
      <c r="B29" s="97">
        <v>22</v>
      </c>
      <c r="C29" s="97" t="s">
        <v>224</v>
      </c>
      <c r="D29" s="92" t="s">
        <v>262</v>
      </c>
      <c r="E29" s="90">
        <v>19063</v>
      </c>
      <c r="F29" s="100">
        <f t="shared" si="1"/>
        <v>9.8244787274756693E-4</v>
      </c>
      <c r="G29" s="99">
        <f t="shared" si="2"/>
        <v>0</v>
      </c>
      <c r="H29" s="100">
        <f t="shared" si="9"/>
        <v>0</v>
      </c>
      <c r="I29" s="90">
        <v>19063</v>
      </c>
      <c r="J29" s="99">
        <f t="shared" si="10"/>
        <v>0</v>
      </c>
      <c r="K29" s="99">
        <f t="shared" si="5"/>
        <v>0</v>
      </c>
      <c r="L29" s="99">
        <f t="shared" si="6"/>
        <v>0</v>
      </c>
      <c r="M29" s="99">
        <f t="shared" si="7"/>
        <v>0</v>
      </c>
      <c r="N29" s="112">
        <f t="shared" si="8"/>
        <v>0</v>
      </c>
      <c r="O29" s="99">
        <f t="shared" si="3"/>
        <v>0</v>
      </c>
      <c r="P29" s="99">
        <f t="shared" si="4"/>
        <v>1824048</v>
      </c>
    </row>
    <row r="30" spans="2:18">
      <c r="B30" s="97">
        <v>23</v>
      </c>
      <c r="C30" s="97" t="s">
        <v>251</v>
      </c>
      <c r="D30" s="92"/>
      <c r="E30" s="90">
        <v>0</v>
      </c>
      <c r="F30" s="100">
        <f t="shared" si="1"/>
        <v>0</v>
      </c>
      <c r="G30" s="99">
        <f t="shared" si="2"/>
        <v>0</v>
      </c>
      <c r="H30" s="100">
        <f t="shared" si="9"/>
        <v>0</v>
      </c>
      <c r="I30" s="90">
        <v>0</v>
      </c>
      <c r="J30" s="99">
        <f t="shared" si="10"/>
        <v>0</v>
      </c>
      <c r="K30" s="99">
        <f t="shared" si="5"/>
        <v>0</v>
      </c>
      <c r="L30" s="99">
        <f t="shared" si="6"/>
        <v>0</v>
      </c>
      <c r="M30" s="99">
        <f t="shared" si="7"/>
        <v>0</v>
      </c>
      <c r="N30" s="112">
        <f t="shared" si="8"/>
        <v>0</v>
      </c>
      <c r="O30" s="99">
        <f t="shared" si="3"/>
        <v>0</v>
      </c>
      <c r="P30" s="99">
        <f t="shared" si="4"/>
        <v>0</v>
      </c>
    </row>
    <row r="31" spans="2:18">
      <c r="B31" s="97">
        <v>24</v>
      </c>
      <c r="C31" s="97" t="s">
        <v>249</v>
      </c>
      <c r="D31" s="92" t="s">
        <v>248</v>
      </c>
      <c r="E31" s="90">
        <v>9869910</v>
      </c>
      <c r="F31" s="100">
        <f t="shared" si="1"/>
        <v>0.50866453778051401</v>
      </c>
      <c r="G31" s="99">
        <f t="shared" si="2"/>
        <v>4480129</v>
      </c>
      <c r="H31" s="100">
        <f t="shared" si="9"/>
        <v>0.3604165136482505</v>
      </c>
      <c r="I31" s="90">
        <v>5389781</v>
      </c>
      <c r="J31" s="99">
        <f t="shared" si="10"/>
        <v>2316652</v>
      </c>
      <c r="K31" s="99">
        <f t="shared" si="5"/>
        <v>505599</v>
      </c>
      <c r="L31" s="99">
        <f t="shared" si="6"/>
        <v>199191</v>
      </c>
      <c r="M31" s="99">
        <f t="shared" si="7"/>
        <v>0</v>
      </c>
      <c r="N31" s="112">
        <f t="shared" si="8"/>
        <v>1458687</v>
      </c>
      <c r="O31" s="99">
        <f t="shared" si="3"/>
        <v>120.01869904486742</v>
      </c>
      <c r="P31" s="99">
        <f t="shared" si="4"/>
        <v>944405053</v>
      </c>
    </row>
    <row r="32" spans="2:18">
      <c r="B32" s="97"/>
      <c r="C32" s="97" t="s">
        <v>252</v>
      </c>
      <c r="D32" s="92"/>
      <c r="E32" s="90">
        <v>0</v>
      </c>
      <c r="F32" s="100">
        <f t="shared" si="1"/>
        <v>0</v>
      </c>
      <c r="G32" s="99">
        <f t="shared" si="2"/>
        <v>0</v>
      </c>
      <c r="H32" s="100">
        <f t="shared" si="9"/>
        <v>0</v>
      </c>
      <c r="I32" s="90">
        <v>0</v>
      </c>
      <c r="J32" s="99">
        <f t="shared" si="10"/>
        <v>0</v>
      </c>
      <c r="K32" s="99">
        <f t="shared" si="5"/>
        <v>0</v>
      </c>
      <c r="L32" s="99">
        <f t="shared" si="6"/>
        <v>0</v>
      </c>
      <c r="M32" s="99">
        <f t="shared" si="7"/>
        <v>0</v>
      </c>
      <c r="N32" s="112">
        <f t="shared" si="8"/>
        <v>0</v>
      </c>
      <c r="O32" s="99">
        <f t="shared" si="3"/>
        <v>0</v>
      </c>
      <c r="P32" s="99">
        <f t="shared" si="4"/>
        <v>0</v>
      </c>
    </row>
    <row r="33" spans="2:16">
      <c r="B33" s="97">
        <v>25</v>
      </c>
      <c r="C33" s="97" t="s">
        <v>283</v>
      </c>
      <c r="D33" s="92"/>
      <c r="E33" s="90">
        <v>0</v>
      </c>
      <c r="F33" s="100">
        <f t="shared" si="1"/>
        <v>0</v>
      </c>
      <c r="G33" s="99">
        <f t="shared" si="2"/>
        <v>0</v>
      </c>
      <c r="H33" s="100">
        <f t="shared" si="9"/>
        <v>0</v>
      </c>
      <c r="I33" s="90">
        <v>0</v>
      </c>
      <c r="J33" s="99">
        <f t="shared" si="10"/>
        <v>0</v>
      </c>
      <c r="K33" s="99">
        <f t="shared" si="5"/>
        <v>0</v>
      </c>
      <c r="L33" s="99">
        <f t="shared" si="6"/>
        <v>0</v>
      </c>
      <c r="M33" s="99">
        <f t="shared" si="7"/>
        <v>0</v>
      </c>
      <c r="N33" s="112">
        <f t="shared" si="8"/>
        <v>0</v>
      </c>
      <c r="O33" s="99">
        <f t="shared" si="3"/>
        <v>0</v>
      </c>
      <c r="P33" s="99">
        <f t="shared" si="4"/>
        <v>0</v>
      </c>
    </row>
    <row r="34" spans="2:16">
      <c r="B34" s="97">
        <v>26</v>
      </c>
      <c r="C34" s="97" t="s">
        <v>284</v>
      </c>
      <c r="D34" s="92"/>
      <c r="E34" s="90">
        <v>0</v>
      </c>
      <c r="F34" s="100">
        <f t="shared" si="1"/>
        <v>0</v>
      </c>
      <c r="G34" s="99">
        <f t="shared" si="2"/>
        <v>0</v>
      </c>
      <c r="H34" s="100">
        <f t="shared" si="9"/>
        <v>0</v>
      </c>
      <c r="I34" s="90">
        <v>0</v>
      </c>
      <c r="J34" s="99">
        <f t="shared" si="10"/>
        <v>0</v>
      </c>
      <c r="K34" s="99">
        <f t="shared" si="5"/>
        <v>0</v>
      </c>
      <c r="L34" s="99">
        <f t="shared" si="6"/>
        <v>0</v>
      </c>
      <c r="M34" s="99">
        <f t="shared" si="7"/>
        <v>0</v>
      </c>
      <c r="N34" s="112">
        <f t="shared" si="8"/>
        <v>0</v>
      </c>
      <c r="O34" s="99">
        <f t="shared" si="3"/>
        <v>0</v>
      </c>
      <c r="P34" s="99">
        <f t="shared" si="4"/>
        <v>0</v>
      </c>
    </row>
    <row r="35" spans="2:16">
      <c r="B35" s="97">
        <v>27</v>
      </c>
      <c r="C35" s="97" t="s">
        <v>225</v>
      </c>
      <c r="D35" s="92" t="s">
        <v>264</v>
      </c>
      <c r="E35" s="98">
        <v>997756</v>
      </c>
      <c r="F35" s="100">
        <f t="shared" si="1"/>
        <v>5.1421248477213528E-2</v>
      </c>
      <c r="G35" s="99">
        <f t="shared" si="2"/>
        <v>997756</v>
      </c>
      <c r="H35" s="100">
        <f t="shared" si="9"/>
        <v>8.0267273328875982E-2</v>
      </c>
      <c r="I35" s="90">
        <v>0</v>
      </c>
      <c r="J35" s="99">
        <f>ROUND(H35*$J$39,0)-1</f>
        <v>515934</v>
      </c>
      <c r="K35" s="99">
        <f>ROUND(H35*$K$39,0)</f>
        <v>112600</v>
      </c>
      <c r="L35" s="116">
        <f>ROUND(H35*$L$39,0)</f>
        <v>44361</v>
      </c>
      <c r="M35" s="99">
        <f t="shared" si="7"/>
        <v>0</v>
      </c>
      <c r="N35" s="112">
        <f>ROUND(H35*$N$39,0)</f>
        <v>324860</v>
      </c>
      <c r="O35" s="99">
        <f t="shared" si="3"/>
        <v>26.7290020185157</v>
      </c>
      <c r="P35" s="99">
        <f>ROUND(F35*$P$39,0)+1</f>
        <v>95470558</v>
      </c>
    </row>
    <row r="36" spans="2:16">
      <c r="B36" s="97">
        <v>28</v>
      </c>
      <c r="C36" s="97" t="s">
        <v>253</v>
      </c>
      <c r="D36" s="92"/>
      <c r="E36" s="90">
        <v>0</v>
      </c>
      <c r="F36" s="100">
        <f t="shared" si="1"/>
        <v>0</v>
      </c>
      <c r="G36" s="99">
        <f t="shared" si="2"/>
        <v>0</v>
      </c>
      <c r="H36" s="100">
        <f t="shared" si="9"/>
        <v>0</v>
      </c>
      <c r="I36" s="90">
        <v>0</v>
      </c>
      <c r="J36" s="99">
        <f t="shared" si="10"/>
        <v>0</v>
      </c>
      <c r="K36" s="99">
        <f t="shared" si="5"/>
        <v>0</v>
      </c>
      <c r="L36" s="99">
        <f t="shared" si="6"/>
        <v>0</v>
      </c>
      <c r="M36" s="99">
        <f t="shared" si="7"/>
        <v>0</v>
      </c>
      <c r="N36" s="112">
        <f t="shared" si="8"/>
        <v>0</v>
      </c>
      <c r="O36" s="99">
        <f t="shared" si="3"/>
        <v>0</v>
      </c>
      <c r="P36" s="99">
        <f t="shared" si="4"/>
        <v>0</v>
      </c>
    </row>
    <row r="37" spans="2:16">
      <c r="B37" s="97">
        <v>29</v>
      </c>
      <c r="C37" s="97" t="s">
        <v>254</v>
      </c>
      <c r="D37" s="92"/>
      <c r="E37" s="90">
        <v>0</v>
      </c>
      <c r="F37" s="100">
        <f t="shared" si="1"/>
        <v>0</v>
      </c>
      <c r="G37" s="99">
        <f t="shared" si="2"/>
        <v>0</v>
      </c>
      <c r="H37" s="100">
        <f t="shared" si="9"/>
        <v>0</v>
      </c>
      <c r="I37" s="90">
        <v>0</v>
      </c>
      <c r="J37" s="99">
        <f t="shared" si="10"/>
        <v>0</v>
      </c>
      <c r="K37" s="99">
        <f t="shared" si="5"/>
        <v>0</v>
      </c>
      <c r="L37" s="99">
        <f t="shared" si="6"/>
        <v>0</v>
      </c>
      <c r="M37" s="99">
        <f t="shared" si="7"/>
        <v>0</v>
      </c>
      <c r="N37" s="112">
        <f t="shared" si="8"/>
        <v>0</v>
      </c>
      <c r="O37" s="99">
        <f t="shared" si="3"/>
        <v>0</v>
      </c>
      <c r="P37" s="99">
        <f t="shared" si="4"/>
        <v>0</v>
      </c>
    </row>
    <row r="38" spans="2:16">
      <c r="B38" s="97">
        <v>30</v>
      </c>
      <c r="C38" s="97" t="s">
        <v>145</v>
      </c>
      <c r="D38" s="92"/>
      <c r="E38" s="90">
        <v>0</v>
      </c>
      <c r="F38" s="100">
        <f>E38/$E$39</f>
        <v>0</v>
      </c>
      <c r="G38" s="99">
        <f t="shared" si="2"/>
        <v>0</v>
      </c>
      <c r="H38" s="100">
        <f t="shared" si="9"/>
        <v>0</v>
      </c>
      <c r="I38" s="90">
        <v>0</v>
      </c>
      <c r="J38" s="99">
        <f t="shared" si="10"/>
        <v>0</v>
      </c>
      <c r="K38" s="99">
        <f t="shared" si="5"/>
        <v>0</v>
      </c>
      <c r="L38" s="99">
        <f t="shared" si="6"/>
        <v>0</v>
      </c>
      <c r="M38" s="99">
        <f t="shared" si="7"/>
        <v>0</v>
      </c>
      <c r="N38" s="112">
        <f t="shared" si="8"/>
        <v>0</v>
      </c>
      <c r="O38" s="99">
        <f t="shared" si="3"/>
        <v>0</v>
      </c>
      <c r="P38" s="99">
        <f t="shared" si="4"/>
        <v>0</v>
      </c>
    </row>
    <row r="39" spans="2:16">
      <c r="E39" s="99">
        <f>SUM(E7:E35)</f>
        <v>19403574</v>
      </c>
      <c r="F39" s="100">
        <f>SUM(F7:F35)</f>
        <v>1</v>
      </c>
      <c r="G39" s="99">
        <f>SUM(G7:G35)</f>
        <v>12430421</v>
      </c>
      <c r="H39" s="100">
        <f>SUM(H7:H35)</f>
        <v>0.99999999999999989</v>
      </c>
      <c r="I39" s="91">
        <v>6973153</v>
      </c>
      <c r="J39" s="91">
        <v>6427707</v>
      </c>
      <c r="K39" s="91">
        <v>1402818</v>
      </c>
      <c r="L39" s="91">
        <v>552670</v>
      </c>
      <c r="M39" s="91">
        <v>0</v>
      </c>
      <c r="N39" s="113">
        <v>4047226</v>
      </c>
      <c r="O39" s="99">
        <f>SUM(O7:O35)</f>
        <v>333</v>
      </c>
      <c r="P39" s="106">
        <v>1856636315</v>
      </c>
    </row>
    <row r="40" spans="2:16" ht="16" customHeight="1">
      <c r="H40" s="83" t="s">
        <v>273</v>
      </c>
      <c r="J40" s="111">
        <f>SUM(J7:J38)-J39</f>
        <v>0</v>
      </c>
      <c r="K40" s="111">
        <f t="shared" ref="K40:P40" si="11">SUM(K7:K38)-K39</f>
        <v>0</v>
      </c>
      <c r="L40" s="111">
        <f t="shared" si="11"/>
        <v>0</v>
      </c>
      <c r="M40" s="111">
        <f t="shared" si="11"/>
        <v>0</v>
      </c>
      <c r="N40" s="111">
        <f t="shared" si="11"/>
        <v>0</v>
      </c>
      <c r="P40" s="111">
        <f t="shared" si="11"/>
        <v>0</v>
      </c>
    </row>
    <row r="41" spans="2:16">
      <c r="H41" s="83" t="s">
        <v>274</v>
      </c>
    </row>
  </sheetData>
  <autoFilter ref="B6:R39" xr:uid="{1A27A3FB-308B-4F6D-8B54-A733BD71E466}"/>
  <phoneticPr fontId="4"/>
  <dataValidations count="1">
    <dataValidation type="list" allowBlank="1" showInputMessage="1" showErrorMessage="1" sqref="D7:D38" xr:uid="{890D85DD-ABE9-48BA-8749-78EF87E8946A}">
      <formula1>$R$9:$R$18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P35"/>
  <sheetViews>
    <sheetView view="pageBreakPreview" zoomScaleNormal="100" zoomScaleSheetLayoutView="100" workbookViewId="0"/>
  </sheetViews>
  <sheetFormatPr defaultColWidth="8.90625" defaultRowHeight="11"/>
  <cols>
    <col min="1" max="1" width="22.90625" style="2" customWidth="1"/>
    <col min="2" max="9" width="12.90625" style="2" customWidth="1"/>
    <col min="10" max="10" width="10.08984375" style="2" customWidth="1"/>
    <col min="11" max="16" width="9" style="2" customWidth="1"/>
    <col min="17" max="16384" width="8.90625" style="2"/>
  </cols>
  <sheetData>
    <row r="1" spans="1:16" ht="21" customHeight="1">
      <c r="A1" s="33" t="s">
        <v>72</v>
      </c>
    </row>
    <row r="2" spans="1:16" ht="13" customHeight="1">
      <c r="A2" s="19" t="str">
        <f>〇投資及び出資金の明細!$A$2</f>
        <v>自治体名：清瀬市　一般会計等</v>
      </c>
    </row>
    <row r="3" spans="1:16" ht="13" customHeight="1">
      <c r="A3" s="19" t="str">
        <f>〇投資及び出資金の明細!$A$3</f>
        <v>年度：令和６年度</v>
      </c>
    </row>
    <row r="4" spans="1:16" ht="13" customHeight="1">
      <c r="H4" s="20"/>
      <c r="I4" s="20" t="s">
        <v>111</v>
      </c>
    </row>
    <row r="5" spans="1:16" ht="37.5" customHeight="1">
      <c r="A5" s="57" t="s">
        <v>63</v>
      </c>
      <c r="B5" s="58" t="s">
        <v>71</v>
      </c>
      <c r="C5" s="59" t="s">
        <v>70</v>
      </c>
      <c r="D5" s="59" t="s">
        <v>69</v>
      </c>
      <c r="E5" s="59" t="s">
        <v>68</v>
      </c>
      <c r="F5" s="59" t="s">
        <v>67</v>
      </c>
      <c r="G5" s="59" t="s">
        <v>66</v>
      </c>
      <c r="H5" s="58" t="s">
        <v>65</v>
      </c>
      <c r="I5" s="59" t="s">
        <v>207</v>
      </c>
    </row>
    <row r="6" spans="1:16" ht="18" customHeight="1">
      <c r="A6" s="36">
        <f>SUM(B6:H6)</f>
        <v>19403574333</v>
      </c>
      <c r="B6" s="35">
        <v>18246190761</v>
      </c>
      <c r="C6" s="35">
        <v>1149265908</v>
      </c>
      <c r="D6" s="35">
        <v>8117664</v>
      </c>
      <c r="E6" s="43" t="s">
        <v>196</v>
      </c>
      <c r="F6" s="43" t="s">
        <v>196</v>
      </c>
      <c r="G6" s="43" t="s">
        <v>196</v>
      </c>
      <c r="H6" s="43" t="s">
        <v>196</v>
      </c>
      <c r="I6" s="66">
        <v>0.41511166867046295</v>
      </c>
    </row>
    <row r="11" spans="1:16" ht="12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12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ht="12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12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2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2:16" ht="12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12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2:16" ht="12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ht="12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2:16" ht="12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2:16" ht="12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2:16" ht="1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2:16" ht="12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2:16" ht="1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2:16" ht="12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2:16" ht="12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2:16" ht="1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2:16" ht="1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2:16" ht="12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2:16" ht="12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2:16" ht="12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2:16" ht="12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2:16" ht="12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2:16" ht="1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FF"/>
  </sheetPr>
  <dimension ref="A1:J9"/>
  <sheetViews>
    <sheetView view="pageBreakPreview" zoomScaleNormal="100" zoomScaleSheetLayoutView="100" workbookViewId="0"/>
  </sheetViews>
  <sheetFormatPr defaultColWidth="8.90625" defaultRowHeight="11"/>
  <cols>
    <col min="1" max="1" width="21.08984375" style="2" customWidth="1"/>
    <col min="2" max="10" width="12.90625" style="2" customWidth="1"/>
    <col min="11" max="16384" width="8.90625" style="2"/>
  </cols>
  <sheetData>
    <row r="1" spans="1:10" ht="21" customHeight="1">
      <c r="A1" s="33" t="s">
        <v>82</v>
      </c>
    </row>
    <row r="2" spans="1:10" ht="13" customHeight="1">
      <c r="A2" s="19" t="str">
        <f>〇投資及び出資金の明細!$A$2</f>
        <v>自治体名：清瀬市　一般会計等</v>
      </c>
    </row>
    <row r="3" spans="1:10" ht="13" customHeight="1">
      <c r="A3" s="19" t="str">
        <f>〇投資及び出資金の明細!$A$3</f>
        <v>年度：令和６年度</v>
      </c>
    </row>
    <row r="4" spans="1:10" ht="13" customHeight="1">
      <c r="J4" s="20" t="s">
        <v>111</v>
      </c>
    </row>
    <row r="5" spans="1:10" ht="25.4" customHeight="1">
      <c r="A5" s="57" t="s">
        <v>63</v>
      </c>
      <c r="B5" s="58" t="s">
        <v>81</v>
      </c>
      <c r="C5" s="59" t="s">
        <v>80</v>
      </c>
      <c r="D5" s="59" t="s">
        <v>79</v>
      </c>
      <c r="E5" s="59" t="s">
        <v>78</v>
      </c>
      <c r="F5" s="59" t="s">
        <v>77</v>
      </c>
      <c r="G5" s="59" t="s">
        <v>76</v>
      </c>
      <c r="H5" s="59" t="s">
        <v>75</v>
      </c>
      <c r="I5" s="59" t="s">
        <v>74</v>
      </c>
      <c r="J5" s="58" t="s">
        <v>73</v>
      </c>
    </row>
    <row r="6" spans="1:10" ht="21.65" customHeight="1">
      <c r="A6" s="36">
        <v>19403574333</v>
      </c>
      <c r="B6" s="35">
        <v>1856636315</v>
      </c>
      <c r="C6" s="35">
        <v>1840659378</v>
      </c>
      <c r="D6" s="35">
        <v>1833966150</v>
      </c>
      <c r="E6" s="35">
        <v>1794925696</v>
      </c>
      <c r="F6" s="35">
        <v>1698467481</v>
      </c>
      <c r="G6" s="35">
        <v>6882554000</v>
      </c>
      <c r="H6" s="35">
        <f>$A$6-SUM($B$6:$G$6)</f>
        <v>3496365313</v>
      </c>
      <c r="I6" s="43" t="s">
        <v>196</v>
      </c>
      <c r="J6" s="43" t="s">
        <v>196</v>
      </c>
    </row>
    <row r="7" spans="1:10">
      <c r="B7" s="2">
        <v>6</v>
      </c>
      <c r="C7" s="2">
        <v>7</v>
      </c>
      <c r="D7" s="2">
        <v>8</v>
      </c>
      <c r="E7" s="2">
        <v>9</v>
      </c>
      <c r="F7" s="2">
        <v>10</v>
      </c>
      <c r="G7" s="2" t="s">
        <v>276</v>
      </c>
      <c r="H7" s="2" t="s">
        <v>213</v>
      </c>
    </row>
    <row r="8" spans="1:10">
      <c r="G8" s="2" t="s">
        <v>282</v>
      </c>
    </row>
    <row r="9" spans="1:10">
      <c r="G9" s="2" t="s">
        <v>277</v>
      </c>
    </row>
  </sheetData>
  <phoneticPr fontId="4"/>
  <pageMargins left="0.39370078740157483" right="0.39370078740157483" top="0.39370078740157483" bottom="0.39370078740157483" header="0.19685039370078741" footer="0.19685039370078741"/>
  <pageSetup paperSize="9" orientation="landscape" cellComments="asDisplayed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CFF"/>
  </sheetPr>
  <dimension ref="A1:B6"/>
  <sheetViews>
    <sheetView view="pageBreakPreview" zoomScaleNormal="100" zoomScaleSheetLayoutView="100" workbookViewId="0"/>
  </sheetViews>
  <sheetFormatPr defaultColWidth="8.90625" defaultRowHeight="11"/>
  <cols>
    <col min="1" max="1" width="22.90625" style="2" customWidth="1"/>
    <col min="2" max="2" width="112.90625" style="2" customWidth="1"/>
    <col min="3" max="16384" width="8.90625" style="2"/>
  </cols>
  <sheetData>
    <row r="1" spans="1:2" ht="21" customHeight="1">
      <c r="A1" s="33" t="s">
        <v>85</v>
      </c>
    </row>
    <row r="2" spans="1:2" ht="13" customHeight="1">
      <c r="A2" s="19" t="str">
        <f>〇投資及び出資金の明細!$A$2</f>
        <v>自治体名：清瀬市　一般会計等</v>
      </c>
    </row>
    <row r="3" spans="1:2" ht="13" customHeight="1">
      <c r="A3" s="19" t="str">
        <f>〇投資及び出資金の明細!$A$3</f>
        <v>年度：令和６年度</v>
      </c>
    </row>
    <row r="4" spans="1:2" ht="13" customHeight="1">
      <c r="B4" s="20" t="s">
        <v>111</v>
      </c>
    </row>
    <row r="5" spans="1:2" ht="22.5" customHeight="1">
      <c r="A5" s="60" t="s">
        <v>84</v>
      </c>
      <c r="B5" s="58" t="s">
        <v>83</v>
      </c>
    </row>
    <row r="6" spans="1:2" ht="56.25" customHeight="1">
      <c r="A6" s="34"/>
      <c r="B6" s="35"/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CFF"/>
  </sheetPr>
  <dimension ref="A1:E26"/>
  <sheetViews>
    <sheetView view="pageBreakPreview" zoomScaleNormal="85" zoomScaleSheetLayoutView="100" workbookViewId="0"/>
  </sheetViews>
  <sheetFormatPr defaultColWidth="8.90625" defaultRowHeight="11"/>
  <cols>
    <col min="1" max="1" width="30.6328125" style="6" customWidth="1"/>
    <col min="2" max="2" width="44.36328125" style="6" bestFit="1" customWidth="1"/>
    <col min="3" max="3" width="27.453125" style="6" customWidth="1"/>
    <col min="4" max="4" width="16.90625" style="28" customWidth="1"/>
    <col min="5" max="5" width="19.90625" style="6" customWidth="1"/>
    <col min="6" max="16384" width="8.90625" style="6"/>
  </cols>
  <sheetData>
    <row r="1" spans="1:5" ht="21" customHeight="1">
      <c r="A1" s="7" t="s">
        <v>99</v>
      </c>
    </row>
    <row r="2" spans="1:5" ht="13" customHeight="1">
      <c r="A2" s="19" t="str">
        <f>〇投資及び出資金の明細!$A$2</f>
        <v>自治体名：清瀬市　一般会計等</v>
      </c>
    </row>
    <row r="3" spans="1:5" ht="13" customHeight="1">
      <c r="A3" s="19" t="str">
        <f>〇投資及び出資金の明細!$A$3</f>
        <v>年度：令和６年度</v>
      </c>
    </row>
    <row r="4" spans="1:5" ht="13" customHeight="1">
      <c r="E4" s="10" t="s">
        <v>111</v>
      </c>
    </row>
    <row r="5" spans="1:5" ht="22.5" customHeight="1">
      <c r="A5" s="48" t="s">
        <v>91</v>
      </c>
      <c r="B5" s="48" t="s">
        <v>98</v>
      </c>
      <c r="C5" s="48" t="s">
        <v>97</v>
      </c>
      <c r="D5" s="61" t="s">
        <v>96</v>
      </c>
      <c r="E5" s="48" t="s">
        <v>95</v>
      </c>
    </row>
    <row r="6" spans="1:5" ht="18" customHeight="1">
      <c r="A6" s="123" t="s">
        <v>94</v>
      </c>
      <c r="B6" s="5" t="s">
        <v>303</v>
      </c>
      <c r="C6" s="5"/>
      <c r="D6" s="29">
        <v>2623738</v>
      </c>
      <c r="E6" s="3"/>
    </row>
    <row r="7" spans="1:5" ht="18" customHeight="1">
      <c r="A7" s="123"/>
      <c r="B7" s="5" t="s">
        <v>304</v>
      </c>
      <c r="C7" s="5"/>
      <c r="D7" s="29">
        <v>1893000</v>
      </c>
      <c r="E7" s="3"/>
    </row>
    <row r="8" spans="1:5" ht="18" customHeight="1">
      <c r="A8" s="124"/>
      <c r="B8" s="5" t="s">
        <v>305</v>
      </c>
      <c r="C8" s="5"/>
      <c r="D8" s="29">
        <v>477067</v>
      </c>
      <c r="E8" s="3"/>
    </row>
    <row r="9" spans="1:5" ht="18" customHeight="1">
      <c r="A9" s="125"/>
      <c r="B9" s="11" t="s">
        <v>93</v>
      </c>
      <c r="C9" s="30"/>
      <c r="D9" s="31">
        <f>SUM(D6:D8)</f>
        <v>4993805</v>
      </c>
      <c r="E9" s="30"/>
    </row>
    <row r="10" spans="1:5" ht="18" customHeight="1">
      <c r="A10" s="126" t="s">
        <v>199</v>
      </c>
      <c r="B10" s="32" t="s">
        <v>291</v>
      </c>
      <c r="C10" s="5" t="s">
        <v>312</v>
      </c>
      <c r="D10" s="29">
        <v>2671496785</v>
      </c>
      <c r="E10" s="3"/>
    </row>
    <row r="11" spans="1:5" ht="18" customHeight="1">
      <c r="A11" s="127"/>
      <c r="B11" s="32" t="s">
        <v>292</v>
      </c>
      <c r="C11" s="5"/>
      <c r="D11" s="29">
        <v>460590000</v>
      </c>
      <c r="E11" s="3"/>
    </row>
    <row r="12" spans="1:5" ht="18" customHeight="1">
      <c r="A12" s="127"/>
      <c r="B12" s="32" t="s">
        <v>293</v>
      </c>
      <c r="C12" s="5"/>
      <c r="D12" s="29">
        <v>333770000</v>
      </c>
      <c r="E12" s="3"/>
    </row>
    <row r="13" spans="1:5" ht="18" customHeight="1">
      <c r="A13" s="127"/>
      <c r="B13" s="32" t="s">
        <v>294</v>
      </c>
      <c r="C13" s="5" t="s">
        <v>313</v>
      </c>
      <c r="D13" s="29">
        <v>274957344</v>
      </c>
      <c r="E13" s="3"/>
    </row>
    <row r="14" spans="1:5" ht="18" customHeight="1">
      <c r="A14" s="127"/>
      <c r="B14" s="32" t="s">
        <v>295</v>
      </c>
      <c r="C14" s="5" t="s">
        <v>311</v>
      </c>
      <c r="D14" s="29">
        <v>211184000</v>
      </c>
      <c r="E14" s="3"/>
    </row>
    <row r="15" spans="1:5" ht="18" customHeight="1">
      <c r="A15" s="127"/>
      <c r="B15" s="32" t="s">
        <v>296</v>
      </c>
      <c r="C15" s="5" t="s">
        <v>313</v>
      </c>
      <c r="D15" s="29">
        <v>181207140</v>
      </c>
      <c r="E15" s="3"/>
    </row>
    <row r="16" spans="1:5" ht="18" customHeight="1">
      <c r="A16" s="127"/>
      <c r="B16" s="32" t="s">
        <v>297</v>
      </c>
      <c r="C16" s="5" t="s">
        <v>310</v>
      </c>
      <c r="D16" s="29">
        <v>173044000</v>
      </c>
      <c r="E16" s="3"/>
    </row>
    <row r="17" spans="1:5" ht="18" customHeight="1">
      <c r="A17" s="127"/>
      <c r="B17" s="32" t="s">
        <v>298</v>
      </c>
      <c r="C17" s="5" t="s">
        <v>309</v>
      </c>
      <c r="D17" s="29">
        <v>92863985</v>
      </c>
      <c r="E17" s="3"/>
    </row>
    <row r="18" spans="1:5" ht="18" customHeight="1">
      <c r="A18" s="127"/>
      <c r="B18" s="32" t="s">
        <v>299</v>
      </c>
      <c r="C18" s="5" t="s">
        <v>307</v>
      </c>
      <c r="D18" s="29">
        <v>88999000</v>
      </c>
      <c r="E18" s="3"/>
    </row>
    <row r="19" spans="1:5" ht="18" customHeight="1">
      <c r="A19" s="127"/>
      <c r="B19" s="32" t="s">
        <v>300</v>
      </c>
      <c r="C19" s="5" t="s">
        <v>308</v>
      </c>
      <c r="D19" s="29">
        <v>70000000</v>
      </c>
      <c r="E19" s="3"/>
    </row>
    <row r="20" spans="1:5" ht="18" customHeight="1">
      <c r="A20" s="127"/>
      <c r="B20" s="32" t="s">
        <v>301</v>
      </c>
      <c r="C20" s="5" t="s">
        <v>306</v>
      </c>
      <c r="D20" s="29">
        <v>53666000</v>
      </c>
      <c r="E20" s="3"/>
    </row>
    <row r="21" spans="1:5" ht="18" customHeight="1">
      <c r="A21" s="127"/>
      <c r="B21" s="5" t="s">
        <v>302</v>
      </c>
      <c r="C21" s="5"/>
      <c r="D21" s="82">
        <v>51400000</v>
      </c>
      <c r="E21" s="3"/>
    </row>
    <row r="22" spans="1:5" ht="18" customHeight="1">
      <c r="A22" s="127"/>
      <c r="B22" s="5" t="s">
        <v>145</v>
      </c>
      <c r="C22" s="5"/>
      <c r="D22" s="29">
        <f>D23-SUM(D10:D21)</f>
        <v>1613854958</v>
      </c>
      <c r="E22" s="3"/>
    </row>
    <row r="23" spans="1:5" ht="18" customHeight="1">
      <c r="A23" s="128"/>
      <c r="B23" s="11" t="s">
        <v>93</v>
      </c>
      <c r="C23" s="30"/>
      <c r="D23" s="31">
        <f>D24-D9</f>
        <v>6277033212</v>
      </c>
      <c r="E23" s="30"/>
    </row>
    <row r="24" spans="1:5" ht="18" customHeight="1">
      <c r="A24" s="11" t="s">
        <v>9</v>
      </c>
      <c r="B24" s="30"/>
      <c r="C24" s="30"/>
      <c r="D24" s="31">
        <v>6282027017</v>
      </c>
      <c r="E24" s="30"/>
    </row>
    <row r="26" spans="1:5">
      <c r="C26" s="10"/>
    </row>
  </sheetData>
  <sortState xmlns:xlrd2="http://schemas.microsoft.com/office/spreadsheetml/2017/richdata2" ref="B8:D19">
    <sortCondition descending="1" ref="D8:D19"/>
  </sortState>
  <mergeCells count="2">
    <mergeCell ref="A6:A9"/>
    <mergeCell ref="A10:A23"/>
  </mergeCells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FF"/>
    <pageSetUpPr fitToPage="1"/>
  </sheetPr>
  <dimension ref="A1:F12"/>
  <sheetViews>
    <sheetView view="pageBreakPreview" zoomScaleNormal="100" zoomScaleSheetLayoutView="100" workbookViewId="0"/>
  </sheetViews>
  <sheetFormatPr defaultColWidth="8.90625" defaultRowHeight="20.25" customHeight="1"/>
  <cols>
    <col min="1" max="1" width="23.36328125" style="8" customWidth="1"/>
    <col min="2" max="6" width="20.90625" style="8" customWidth="1"/>
    <col min="7" max="7" width="8.90625" style="8"/>
    <col min="8" max="9" width="13.08984375" style="8" customWidth="1"/>
    <col min="10" max="16384" width="8.90625" style="8"/>
  </cols>
  <sheetData>
    <row r="1" spans="1:6" ht="21" customHeight="1">
      <c r="A1" s="65" t="s">
        <v>155</v>
      </c>
      <c r="B1" s="24"/>
      <c r="C1" s="24"/>
      <c r="D1" s="24"/>
      <c r="E1" s="24"/>
      <c r="F1" s="24"/>
    </row>
    <row r="2" spans="1:6" ht="13" customHeight="1">
      <c r="A2" s="19" t="str">
        <f>〇投資及び出資金の明細!$A$2</f>
        <v>自治体名：清瀬市　一般会計等</v>
      </c>
      <c r="B2" s="24"/>
      <c r="C2" s="24"/>
      <c r="D2" s="24"/>
      <c r="E2" s="24"/>
      <c r="F2" s="25"/>
    </row>
    <row r="3" spans="1:6" ht="13" customHeight="1">
      <c r="A3" s="19" t="str">
        <f>〇投資及び出資金の明細!$A$3</f>
        <v>年度：令和６年度</v>
      </c>
      <c r="B3" s="24"/>
      <c r="C3" s="24"/>
      <c r="D3" s="24"/>
      <c r="E3" s="24"/>
      <c r="F3" s="25"/>
    </row>
    <row r="4" spans="1:6" ht="13" customHeight="1">
      <c r="A4" s="24"/>
      <c r="B4" s="24"/>
      <c r="C4" s="24"/>
      <c r="D4" s="24"/>
      <c r="E4" s="24"/>
      <c r="F4" s="25" t="s">
        <v>163</v>
      </c>
    </row>
    <row r="5" spans="1:6" ht="20.25" customHeight="1">
      <c r="A5" s="129" t="s">
        <v>91</v>
      </c>
      <c r="B5" s="131" t="s">
        <v>96</v>
      </c>
      <c r="C5" s="131" t="s">
        <v>156</v>
      </c>
      <c r="D5" s="131"/>
      <c r="E5" s="131"/>
      <c r="F5" s="131"/>
    </row>
    <row r="6" spans="1:6" ht="20.25" customHeight="1">
      <c r="A6" s="129"/>
      <c r="B6" s="131"/>
      <c r="C6" s="131" t="s">
        <v>102</v>
      </c>
      <c r="D6" s="131" t="s">
        <v>157</v>
      </c>
      <c r="E6" s="131" t="s">
        <v>103</v>
      </c>
      <c r="F6" s="131" t="s">
        <v>25</v>
      </c>
    </row>
    <row r="7" spans="1:6" ht="20.25" customHeight="1" thickBot="1">
      <c r="A7" s="130"/>
      <c r="B7" s="132"/>
      <c r="C7" s="132"/>
      <c r="D7" s="132"/>
      <c r="E7" s="132"/>
      <c r="F7" s="132"/>
    </row>
    <row r="8" spans="1:6" ht="20.25" customHeight="1" thickTop="1">
      <c r="A8" s="26" t="s">
        <v>158</v>
      </c>
      <c r="B8" s="64">
        <v>32676271727</v>
      </c>
      <c r="C8" s="64">
        <f>C12-SUM(C9:C11)</f>
        <v>13304351436</v>
      </c>
      <c r="D8" s="64">
        <f>D12-SUM(D9:D11)</f>
        <v>0</v>
      </c>
      <c r="E8" s="64">
        <f>B8-SUM(C8,D8,F8)</f>
        <v>16828266033</v>
      </c>
      <c r="F8" s="64">
        <v>2543654258</v>
      </c>
    </row>
    <row r="9" spans="1:6" ht="20.25" customHeight="1">
      <c r="A9" s="26" t="s">
        <v>159</v>
      </c>
      <c r="B9" s="64">
        <v>2851761006</v>
      </c>
      <c r="C9" s="64">
        <v>969948000</v>
      </c>
      <c r="D9" s="64">
        <v>1219000000</v>
      </c>
      <c r="E9" s="64">
        <f t="shared" ref="E9:E11" si="0">B9-SUM(C9,D9,F9)</f>
        <v>440954006</v>
      </c>
      <c r="F9" s="64">
        <v>221859000</v>
      </c>
    </row>
    <row r="10" spans="1:6" ht="20.25" customHeight="1">
      <c r="A10" s="26" t="s">
        <v>160</v>
      </c>
      <c r="B10" s="64">
        <v>1651155337</v>
      </c>
      <c r="C10" s="64">
        <v>0</v>
      </c>
      <c r="D10" s="64">
        <v>0</v>
      </c>
      <c r="E10" s="64">
        <f t="shared" si="0"/>
        <v>1651155337</v>
      </c>
      <c r="F10" s="64">
        <v>0</v>
      </c>
    </row>
    <row r="11" spans="1:6" ht="20.25" customHeight="1">
      <c r="A11" s="26" t="s">
        <v>25</v>
      </c>
      <c r="B11" s="64">
        <v>0</v>
      </c>
      <c r="C11" s="64">
        <v>0</v>
      </c>
      <c r="D11" s="64">
        <v>0</v>
      </c>
      <c r="E11" s="64">
        <f t="shared" si="0"/>
        <v>0</v>
      </c>
      <c r="F11" s="64">
        <v>0</v>
      </c>
    </row>
    <row r="12" spans="1:6" ht="20.25" customHeight="1">
      <c r="A12" s="27" t="s">
        <v>9</v>
      </c>
      <c r="B12" s="64">
        <f>SUM(B8:B11)</f>
        <v>37179188070</v>
      </c>
      <c r="C12" s="64">
        <v>14274299436</v>
      </c>
      <c r="D12" s="64">
        <v>1219000000</v>
      </c>
      <c r="E12" s="64">
        <f>SUM(E8:E11)</f>
        <v>18920375376</v>
      </c>
      <c r="F12" s="64">
        <f>SUM(F8:F11)</f>
        <v>2765513258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4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FF"/>
  </sheetPr>
  <dimension ref="A1:E22"/>
  <sheetViews>
    <sheetView view="pageBreakPreview" zoomScaleNormal="100" zoomScaleSheetLayoutView="100" workbookViewId="0"/>
  </sheetViews>
  <sheetFormatPr defaultColWidth="8.90625" defaultRowHeight="11"/>
  <cols>
    <col min="1" max="1" width="13.36328125" style="6" customWidth="1"/>
    <col min="2" max="2" width="12.453125" style="6" customWidth="1"/>
    <col min="3" max="3" width="7.6328125" style="6" customWidth="1"/>
    <col min="4" max="4" width="28.90625" style="6" customWidth="1"/>
    <col min="5" max="5" width="24.90625" style="6" customWidth="1"/>
    <col min="6" max="16384" width="8.90625" style="6"/>
  </cols>
  <sheetData>
    <row r="1" spans="1:5" ht="21" customHeight="1">
      <c r="A1" s="7" t="s">
        <v>106</v>
      </c>
    </row>
    <row r="2" spans="1:5" ht="13" customHeight="1">
      <c r="A2" s="19" t="str">
        <f>〇投資及び出資金の明細!$A$2</f>
        <v>自治体名：清瀬市　一般会計等</v>
      </c>
    </row>
    <row r="3" spans="1:5" ht="13" customHeight="1">
      <c r="A3" s="19" t="str">
        <f>〇投資及び出資金の明細!$A$3</f>
        <v>年度：令和６年度</v>
      </c>
    </row>
    <row r="4" spans="1:5" ht="13" customHeight="1">
      <c r="E4" s="10" t="s">
        <v>111</v>
      </c>
    </row>
    <row r="5" spans="1:5" ht="22.5" customHeight="1">
      <c r="A5" s="48" t="s">
        <v>105</v>
      </c>
      <c r="B5" s="48" t="s">
        <v>91</v>
      </c>
      <c r="C5" s="118" t="s">
        <v>104</v>
      </c>
      <c r="D5" s="118"/>
      <c r="E5" s="48" t="s">
        <v>96</v>
      </c>
    </row>
    <row r="6" spans="1:5" ht="18" customHeight="1">
      <c r="A6" s="136" t="s">
        <v>161</v>
      </c>
      <c r="B6" s="136" t="s">
        <v>162</v>
      </c>
      <c r="C6" s="141" t="s">
        <v>147</v>
      </c>
      <c r="D6" s="142"/>
      <c r="E6" s="3">
        <v>10088516654</v>
      </c>
    </row>
    <row r="7" spans="1:5" ht="18" customHeight="1">
      <c r="A7" s="137"/>
      <c r="B7" s="137"/>
      <c r="C7" s="141" t="s">
        <v>148</v>
      </c>
      <c r="D7" s="142"/>
      <c r="E7" s="3">
        <v>121801000</v>
      </c>
    </row>
    <row r="8" spans="1:5" ht="18" customHeight="1">
      <c r="A8" s="137"/>
      <c r="B8" s="137"/>
      <c r="C8" s="141" t="s">
        <v>149</v>
      </c>
      <c r="D8" s="142"/>
      <c r="E8" s="3">
        <f>27192000+140027000+204281000+226570000+1812867000+45412505+43764000</f>
        <v>2500113505</v>
      </c>
    </row>
    <row r="9" spans="1:5" ht="18" customHeight="1">
      <c r="A9" s="137"/>
      <c r="B9" s="137"/>
      <c r="C9" s="141" t="s">
        <v>150</v>
      </c>
      <c r="D9" s="142"/>
      <c r="E9" s="3">
        <v>419473000</v>
      </c>
    </row>
    <row r="10" spans="1:5" ht="18" customHeight="1">
      <c r="A10" s="137"/>
      <c r="B10" s="137"/>
      <c r="C10" s="141" t="s">
        <v>151</v>
      </c>
      <c r="D10" s="142"/>
      <c r="E10" s="3">
        <v>5262390000</v>
      </c>
    </row>
    <row r="11" spans="1:5" ht="18" customHeight="1">
      <c r="A11" s="137"/>
      <c r="B11" s="137"/>
      <c r="C11" s="141" t="s">
        <v>152</v>
      </c>
      <c r="D11" s="142"/>
      <c r="E11" s="3">
        <v>6299000</v>
      </c>
    </row>
    <row r="12" spans="1:5" ht="18" customHeight="1">
      <c r="A12" s="137"/>
      <c r="B12" s="137"/>
      <c r="C12" s="141" t="s">
        <v>153</v>
      </c>
      <c r="D12" s="142"/>
      <c r="E12" s="3">
        <v>108472869</v>
      </c>
    </row>
    <row r="13" spans="1:5" ht="18" customHeight="1">
      <c r="A13" s="137"/>
      <c r="B13" s="137"/>
      <c r="C13" s="141" t="s">
        <v>154</v>
      </c>
      <c r="D13" s="142"/>
      <c r="E13" s="3">
        <v>198640419</v>
      </c>
    </row>
    <row r="14" spans="1:5" ht="18" customHeight="1">
      <c r="A14" s="137"/>
      <c r="B14" s="138"/>
      <c r="C14" s="139" t="s">
        <v>38</v>
      </c>
      <c r="D14" s="140"/>
      <c r="E14" s="3">
        <f>SUM(E6:E13)</f>
        <v>18705706447</v>
      </c>
    </row>
    <row r="15" spans="1:5" ht="18" customHeight="1">
      <c r="A15" s="137"/>
      <c r="B15" s="136" t="s">
        <v>102</v>
      </c>
      <c r="C15" s="133" t="s">
        <v>101</v>
      </c>
      <c r="D15" s="5" t="s">
        <v>208</v>
      </c>
      <c r="E15" s="3">
        <v>234694000</v>
      </c>
    </row>
    <row r="16" spans="1:5" ht="18" customHeight="1">
      <c r="A16" s="137"/>
      <c r="B16" s="137"/>
      <c r="C16" s="134"/>
      <c r="D16" s="5" t="s">
        <v>209</v>
      </c>
      <c r="E16" s="3">
        <v>735254000</v>
      </c>
    </row>
    <row r="17" spans="1:5" ht="18" customHeight="1">
      <c r="A17" s="137"/>
      <c r="B17" s="137"/>
      <c r="C17" s="135"/>
      <c r="D17" s="11" t="s">
        <v>93</v>
      </c>
      <c r="E17" s="3">
        <f>SUM(E15:E16)</f>
        <v>969948000</v>
      </c>
    </row>
    <row r="18" spans="1:5" ht="18" customHeight="1">
      <c r="A18" s="137"/>
      <c r="B18" s="137"/>
      <c r="C18" s="133" t="s">
        <v>100</v>
      </c>
      <c r="D18" s="5" t="s">
        <v>208</v>
      </c>
      <c r="E18" s="3">
        <v>7913290577</v>
      </c>
    </row>
    <row r="19" spans="1:5" ht="18" customHeight="1">
      <c r="A19" s="137"/>
      <c r="B19" s="137"/>
      <c r="C19" s="134"/>
      <c r="D19" s="5" t="s">
        <v>209</v>
      </c>
      <c r="E19" s="3">
        <v>5391060859</v>
      </c>
    </row>
    <row r="20" spans="1:5" ht="18" customHeight="1">
      <c r="A20" s="137"/>
      <c r="B20" s="137"/>
      <c r="C20" s="135"/>
      <c r="D20" s="11" t="s">
        <v>93</v>
      </c>
      <c r="E20" s="3">
        <f>SUM(E18:E19)</f>
        <v>13304351436</v>
      </c>
    </row>
    <row r="21" spans="1:5" ht="18" customHeight="1">
      <c r="A21" s="137"/>
      <c r="B21" s="138"/>
      <c r="C21" s="139" t="s">
        <v>38</v>
      </c>
      <c r="D21" s="140"/>
      <c r="E21" s="3">
        <f>E17+E20</f>
        <v>14274299436</v>
      </c>
    </row>
    <row r="22" spans="1:5" ht="18" customHeight="1">
      <c r="A22" s="138"/>
      <c r="B22" s="139" t="s">
        <v>9</v>
      </c>
      <c r="C22" s="143"/>
      <c r="D22" s="140"/>
      <c r="E22" s="3">
        <f>E14+E21</f>
        <v>32980005883</v>
      </c>
    </row>
  </sheetData>
  <mergeCells count="17">
    <mergeCell ref="A6:A22"/>
    <mergeCell ref="B6:B14"/>
    <mergeCell ref="C6:D6"/>
    <mergeCell ref="C7:D7"/>
    <mergeCell ref="C8:D8"/>
    <mergeCell ref="C9:D9"/>
    <mergeCell ref="C10:D10"/>
    <mergeCell ref="C11:D11"/>
    <mergeCell ref="C12:D12"/>
    <mergeCell ref="B22:D22"/>
    <mergeCell ref="C13:D13"/>
    <mergeCell ref="C14:D14"/>
    <mergeCell ref="C15:C17"/>
    <mergeCell ref="C18:C20"/>
    <mergeCell ref="B15:B21"/>
    <mergeCell ref="C21:D21"/>
    <mergeCell ref="C5:D5"/>
  </mergeCells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CFF"/>
  </sheetPr>
  <dimension ref="A1:B9"/>
  <sheetViews>
    <sheetView view="pageBreakPreview" zoomScaleNormal="100" zoomScaleSheetLayoutView="100" workbookViewId="0"/>
  </sheetViews>
  <sheetFormatPr defaultColWidth="8.90625" defaultRowHeight="11"/>
  <cols>
    <col min="1" max="1" width="60.90625" style="18" customWidth="1"/>
    <col min="2" max="2" width="40.90625" style="18" customWidth="1"/>
    <col min="3" max="16384" width="8.90625" style="18"/>
  </cols>
  <sheetData>
    <row r="1" spans="1:2" ht="21" customHeight="1">
      <c r="A1" s="17" t="s">
        <v>107</v>
      </c>
    </row>
    <row r="2" spans="1:2" ht="13" customHeight="1">
      <c r="A2" s="19" t="str">
        <f>〇投資及び出資金の明細!$A$2</f>
        <v>自治体名：清瀬市　一般会計等</v>
      </c>
    </row>
    <row r="3" spans="1:2" ht="13" customHeight="1">
      <c r="A3" s="19" t="str">
        <f>〇投資及び出資金の明細!$A$3</f>
        <v>年度：令和６年度</v>
      </c>
    </row>
    <row r="4" spans="1:2" ht="13" customHeight="1">
      <c r="B4" s="20" t="s">
        <v>111</v>
      </c>
    </row>
    <row r="5" spans="1:2" ht="22.5" customHeight="1">
      <c r="A5" s="50" t="s">
        <v>29</v>
      </c>
      <c r="B5" s="50" t="s">
        <v>87</v>
      </c>
    </row>
    <row r="6" spans="1:2" ht="18" customHeight="1">
      <c r="A6" s="22" t="s">
        <v>210</v>
      </c>
      <c r="B6" s="1">
        <v>1412322572</v>
      </c>
    </row>
    <row r="7" spans="1:2" ht="18" customHeight="1">
      <c r="A7" s="22"/>
      <c r="B7" s="1"/>
    </row>
    <row r="8" spans="1:2" ht="18" customHeight="1">
      <c r="A8" s="22"/>
      <c r="B8" s="1"/>
    </row>
    <row r="9" spans="1:2" ht="18" customHeight="1">
      <c r="A9" s="21" t="s">
        <v>9</v>
      </c>
      <c r="B9" s="1">
        <f>SUM(B6:B8)</f>
        <v>1412322572</v>
      </c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AA53-99A4-461F-9623-EBCCB1010DEF}">
  <sheetPr>
    <tabColor rgb="FFFFCCFF"/>
    <pageSetUpPr fitToPage="1"/>
  </sheetPr>
  <dimension ref="A1:K23"/>
  <sheetViews>
    <sheetView view="pageBreakPreview" zoomScaleNormal="100" zoomScaleSheetLayoutView="100" workbookViewId="0"/>
  </sheetViews>
  <sheetFormatPr defaultColWidth="9.7265625" defaultRowHeight="11"/>
  <cols>
    <col min="1" max="1" width="15.08984375" style="12" customWidth="1"/>
    <col min="2" max="11" width="15.90625" style="12" customWidth="1"/>
    <col min="12" max="16384" width="9.7265625" style="12"/>
  </cols>
  <sheetData>
    <row r="1" spans="1:11" ht="21" customHeight="1">
      <c r="A1" s="67" t="s">
        <v>189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3" customHeight="1">
      <c r="A2" s="19" t="str">
        <f>〇投資及び出資金の明細!$A$2</f>
        <v>自治体名：清瀬市　一般会計等</v>
      </c>
      <c r="B2" s="13"/>
      <c r="C2" s="13"/>
      <c r="D2" s="13"/>
      <c r="E2" s="13"/>
      <c r="F2" s="13"/>
      <c r="G2" s="13"/>
      <c r="H2" s="13"/>
      <c r="I2" s="13"/>
      <c r="J2" s="14"/>
      <c r="K2" s="14"/>
    </row>
    <row r="3" spans="1:11" ht="13" customHeight="1">
      <c r="A3" s="19" t="str">
        <f>〇投資及び出資金の明細!$A$3</f>
        <v>年度：令和６年度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3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 t="s">
        <v>163</v>
      </c>
    </row>
    <row r="5" spans="1:11" ht="33" customHeight="1">
      <c r="A5" s="62" t="s">
        <v>91</v>
      </c>
      <c r="B5" s="63" t="s">
        <v>188</v>
      </c>
      <c r="C5" s="62" t="s">
        <v>187</v>
      </c>
      <c r="D5" s="62" t="s">
        <v>186</v>
      </c>
      <c r="E5" s="62" t="s">
        <v>185</v>
      </c>
      <c r="F5" s="62" t="s">
        <v>184</v>
      </c>
      <c r="G5" s="62" t="s">
        <v>183</v>
      </c>
      <c r="H5" s="62" t="s">
        <v>182</v>
      </c>
      <c r="I5" s="62" t="s">
        <v>211</v>
      </c>
      <c r="J5" s="62" t="s">
        <v>25</v>
      </c>
      <c r="K5" s="62" t="s">
        <v>9</v>
      </c>
    </row>
    <row r="6" spans="1:11">
      <c r="A6" s="15" t="s">
        <v>174</v>
      </c>
      <c r="B6" s="16">
        <v>6998241139</v>
      </c>
      <c r="C6" s="16">
        <v>38349342715</v>
      </c>
      <c r="D6" s="16">
        <v>5250845448</v>
      </c>
      <c r="E6" s="16">
        <v>170209797</v>
      </c>
      <c r="F6" s="16">
        <v>302297030</v>
      </c>
      <c r="G6" s="16">
        <v>371883559</v>
      </c>
      <c r="H6" s="16">
        <v>6313289075</v>
      </c>
      <c r="I6" s="16">
        <v>11507980</v>
      </c>
      <c r="J6" s="16">
        <v>405776365</v>
      </c>
      <c r="K6" s="16">
        <v>58173393108</v>
      </c>
    </row>
    <row r="7" spans="1:11">
      <c r="A7" s="15" t="s">
        <v>173</v>
      </c>
      <c r="B7" s="16">
        <v>6266932352</v>
      </c>
      <c r="C7" s="16">
        <v>25125415389</v>
      </c>
      <c r="D7" s="16">
        <v>2481869018</v>
      </c>
      <c r="E7" s="16">
        <v>160323923</v>
      </c>
      <c r="F7" s="16">
        <v>99068320</v>
      </c>
      <c r="G7" s="16">
        <v>314553179</v>
      </c>
      <c r="H7" s="16">
        <v>1496743378</v>
      </c>
      <c r="I7" s="16" t="s">
        <v>196</v>
      </c>
      <c r="J7" s="16">
        <v>89877374</v>
      </c>
      <c r="K7" s="16">
        <v>36034782933</v>
      </c>
    </row>
    <row r="8" spans="1:11">
      <c r="A8" s="15" t="s">
        <v>172</v>
      </c>
      <c r="B8" s="16" t="s">
        <v>196</v>
      </c>
      <c r="C8" s="16" t="s">
        <v>196</v>
      </c>
      <c r="D8" s="16" t="s">
        <v>196</v>
      </c>
      <c r="E8" s="16" t="s">
        <v>196</v>
      </c>
      <c r="F8" s="16" t="s">
        <v>196</v>
      </c>
      <c r="G8" s="16" t="s">
        <v>196</v>
      </c>
      <c r="H8" s="16" t="s">
        <v>196</v>
      </c>
      <c r="I8" s="16" t="s">
        <v>196</v>
      </c>
      <c r="J8" s="16" t="s">
        <v>196</v>
      </c>
      <c r="K8" s="16" t="s">
        <v>196</v>
      </c>
    </row>
    <row r="9" spans="1:11">
      <c r="A9" s="15" t="s">
        <v>171</v>
      </c>
      <c r="B9" s="16">
        <v>537431634</v>
      </c>
      <c r="C9" s="16">
        <v>12071183733</v>
      </c>
      <c r="D9" s="16">
        <v>2745406169</v>
      </c>
      <c r="E9" s="16">
        <v>7435899</v>
      </c>
      <c r="F9" s="16">
        <v>203228710</v>
      </c>
      <c r="G9" s="16">
        <v>46002695</v>
      </c>
      <c r="H9" s="16">
        <v>4630220320</v>
      </c>
      <c r="I9" s="16">
        <v>11507980</v>
      </c>
      <c r="J9" s="16">
        <v>296826455</v>
      </c>
      <c r="K9" s="16">
        <v>20549243595</v>
      </c>
    </row>
    <row r="10" spans="1:11">
      <c r="A10" s="15" t="s">
        <v>170</v>
      </c>
      <c r="B10" s="16">
        <v>181417253</v>
      </c>
      <c r="C10" s="16">
        <v>505332709</v>
      </c>
      <c r="D10" s="16">
        <v>3308261</v>
      </c>
      <c r="E10" s="16">
        <v>2449975</v>
      </c>
      <c r="F10" s="16" t="s">
        <v>196</v>
      </c>
      <c r="G10" s="16">
        <v>11327685</v>
      </c>
      <c r="H10" s="16">
        <v>186325377</v>
      </c>
      <c r="I10" s="16" t="s">
        <v>196</v>
      </c>
      <c r="J10" s="16">
        <v>10272536</v>
      </c>
      <c r="K10" s="16">
        <v>900433796</v>
      </c>
    </row>
    <row r="11" spans="1:11">
      <c r="A11" s="15" t="s">
        <v>169</v>
      </c>
      <c r="B11" s="16" t="s">
        <v>196</v>
      </c>
      <c r="C11" s="16" t="s">
        <v>196</v>
      </c>
      <c r="D11" s="16" t="s">
        <v>196</v>
      </c>
      <c r="E11" s="16" t="s">
        <v>196</v>
      </c>
      <c r="F11" s="16" t="s">
        <v>196</v>
      </c>
      <c r="G11" s="16" t="s">
        <v>196</v>
      </c>
      <c r="H11" s="16" t="s">
        <v>196</v>
      </c>
      <c r="I11" s="16" t="s">
        <v>196</v>
      </c>
      <c r="J11" s="16" t="s">
        <v>196</v>
      </c>
      <c r="K11" s="16" t="s">
        <v>196</v>
      </c>
    </row>
    <row r="12" spans="1:11">
      <c r="A12" s="15" t="s">
        <v>168</v>
      </c>
      <c r="B12" s="16" t="s">
        <v>196</v>
      </c>
      <c r="C12" s="16" t="s">
        <v>196</v>
      </c>
      <c r="D12" s="16" t="s">
        <v>196</v>
      </c>
      <c r="E12" s="16" t="s">
        <v>196</v>
      </c>
      <c r="F12" s="16" t="s">
        <v>196</v>
      </c>
      <c r="G12" s="16" t="s">
        <v>196</v>
      </c>
      <c r="H12" s="16" t="s">
        <v>196</v>
      </c>
      <c r="I12" s="16" t="s">
        <v>196</v>
      </c>
      <c r="J12" s="16" t="s">
        <v>196</v>
      </c>
      <c r="K12" s="16" t="s">
        <v>196</v>
      </c>
    </row>
    <row r="13" spans="1:11">
      <c r="A13" s="15" t="s">
        <v>167</v>
      </c>
      <c r="B13" s="16" t="s">
        <v>196</v>
      </c>
      <c r="C13" s="16" t="s">
        <v>196</v>
      </c>
      <c r="D13" s="16" t="s">
        <v>196</v>
      </c>
      <c r="E13" s="16" t="s">
        <v>196</v>
      </c>
      <c r="F13" s="16" t="s">
        <v>196</v>
      </c>
      <c r="G13" s="16" t="s">
        <v>196</v>
      </c>
      <c r="H13" s="16" t="s">
        <v>196</v>
      </c>
      <c r="I13" s="16" t="s">
        <v>196</v>
      </c>
      <c r="J13" s="16" t="s">
        <v>196</v>
      </c>
      <c r="K13" s="16" t="s">
        <v>196</v>
      </c>
    </row>
    <row r="14" spans="1:11">
      <c r="A14" s="15" t="s">
        <v>44</v>
      </c>
      <c r="B14" s="16" t="s">
        <v>196</v>
      </c>
      <c r="C14" s="16" t="s">
        <v>196</v>
      </c>
      <c r="D14" s="16" t="s">
        <v>196</v>
      </c>
      <c r="E14" s="16" t="s">
        <v>196</v>
      </c>
      <c r="F14" s="16" t="s">
        <v>196</v>
      </c>
      <c r="G14" s="16" t="s">
        <v>196</v>
      </c>
      <c r="H14" s="16" t="s">
        <v>196</v>
      </c>
      <c r="I14" s="16" t="s">
        <v>196</v>
      </c>
      <c r="J14" s="16" t="s">
        <v>196</v>
      </c>
      <c r="K14" s="16" t="s">
        <v>196</v>
      </c>
    </row>
    <row r="15" spans="1:11">
      <c r="A15" s="15" t="s">
        <v>166</v>
      </c>
      <c r="B15" s="16">
        <v>12459900</v>
      </c>
      <c r="C15" s="16">
        <v>647410884</v>
      </c>
      <c r="D15" s="16">
        <v>20262000</v>
      </c>
      <c r="E15" s="16" t="s">
        <v>196</v>
      </c>
      <c r="F15" s="16" t="s">
        <v>196</v>
      </c>
      <c r="G15" s="16" t="s">
        <v>196</v>
      </c>
      <c r="H15" s="16" t="s">
        <v>196</v>
      </c>
      <c r="I15" s="16" t="s">
        <v>196</v>
      </c>
      <c r="J15" s="16">
        <v>8800000</v>
      </c>
      <c r="K15" s="16">
        <v>688932784</v>
      </c>
    </row>
    <row r="16" spans="1:11">
      <c r="A16" s="15" t="s">
        <v>165</v>
      </c>
      <c r="B16" s="16">
        <v>27822356952</v>
      </c>
      <c r="C16" s="16">
        <v>839862358</v>
      </c>
      <c r="D16" s="16" t="s">
        <v>196</v>
      </c>
      <c r="E16" s="16" t="s">
        <v>196</v>
      </c>
      <c r="F16" s="16" t="s">
        <v>196</v>
      </c>
      <c r="G16" s="16">
        <v>32070784</v>
      </c>
      <c r="H16" s="16" t="s">
        <v>196</v>
      </c>
      <c r="I16" s="16" t="s">
        <v>196</v>
      </c>
      <c r="J16" s="16">
        <v>28834856</v>
      </c>
      <c r="K16" s="16">
        <v>28723124950</v>
      </c>
    </row>
    <row r="17" spans="1:11">
      <c r="A17" s="15" t="s">
        <v>173</v>
      </c>
      <c r="B17" s="16">
        <v>9247138169</v>
      </c>
      <c r="C17" s="16">
        <v>786318951</v>
      </c>
      <c r="D17" s="16" t="s">
        <v>196</v>
      </c>
      <c r="E17" s="16" t="s">
        <v>196</v>
      </c>
      <c r="F17" s="16" t="s">
        <v>196</v>
      </c>
      <c r="G17" s="16">
        <v>32070784</v>
      </c>
      <c r="H17" s="16" t="s">
        <v>196</v>
      </c>
      <c r="I17" s="16" t="s">
        <v>196</v>
      </c>
      <c r="J17" s="16" t="s">
        <v>196</v>
      </c>
      <c r="K17" s="16">
        <v>10065527904</v>
      </c>
    </row>
    <row r="18" spans="1:11">
      <c r="A18" s="15" t="s">
        <v>171</v>
      </c>
      <c r="B18" s="16">
        <v>22009756</v>
      </c>
      <c r="C18" s="16">
        <v>38499265</v>
      </c>
      <c r="D18" s="16" t="s">
        <v>196</v>
      </c>
      <c r="E18" s="16" t="s">
        <v>196</v>
      </c>
      <c r="F18" s="16" t="s">
        <v>196</v>
      </c>
      <c r="G18" s="16" t="s">
        <v>196</v>
      </c>
      <c r="H18" s="16" t="s">
        <v>196</v>
      </c>
      <c r="I18" s="16" t="s">
        <v>196</v>
      </c>
      <c r="J18" s="16" t="s">
        <v>196</v>
      </c>
      <c r="K18" s="16">
        <v>60509021</v>
      </c>
    </row>
    <row r="19" spans="1:11">
      <c r="A19" s="15" t="s">
        <v>170</v>
      </c>
      <c r="B19" s="16">
        <v>18539239027</v>
      </c>
      <c r="C19" s="16">
        <v>15044142</v>
      </c>
      <c r="D19" s="16" t="s">
        <v>196</v>
      </c>
      <c r="E19" s="16" t="s">
        <v>196</v>
      </c>
      <c r="F19" s="16" t="s">
        <v>196</v>
      </c>
      <c r="G19" s="16" t="s">
        <v>196</v>
      </c>
      <c r="H19" s="16" t="s">
        <v>196</v>
      </c>
      <c r="I19" s="16" t="s">
        <v>196</v>
      </c>
      <c r="J19" s="16">
        <v>28834856</v>
      </c>
      <c r="K19" s="16">
        <v>18583118025</v>
      </c>
    </row>
    <row r="20" spans="1:11">
      <c r="A20" s="15" t="s">
        <v>44</v>
      </c>
      <c r="B20" s="16" t="s">
        <v>196</v>
      </c>
      <c r="C20" s="16" t="s">
        <v>196</v>
      </c>
      <c r="D20" s="16" t="s">
        <v>196</v>
      </c>
      <c r="E20" s="16" t="s">
        <v>196</v>
      </c>
      <c r="F20" s="16" t="s">
        <v>196</v>
      </c>
      <c r="G20" s="16" t="s">
        <v>196</v>
      </c>
      <c r="H20" s="16" t="s">
        <v>196</v>
      </c>
      <c r="I20" s="16" t="s">
        <v>196</v>
      </c>
      <c r="J20" s="16" t="s">
        <v>196</v>
      </c>
      <c r="K20" s="16" t="s">
        <v>196</v>
      </c>
    </row>
    <row r="21" spans="1:11">
      <c r="A21" s="15" t="s">
        <v>166</v>
      </c>
      <c r="B21" s="16">
        <v>13970000</v>
      </c>
      <c r="C21" s="16" t="s">
        <v>196</v>
      </c>
      <c r="D21" s="16" t="s">
        <v>196</v>
      </c>
      <c r="E21" s="16" t="s">
        <v>196</v>
      </c>
      <c r="F21" s="16" t="s">
        <v>196</v>
      </c>
      <c r="G21" s="16" t="s">
        <v>196</v>
      </c>
      <c r="H21" s="16" t="s">
        <v>196</v>
      </c>
      <c r="I21" s="16" t="s">
        <v>196</v>
      </c>
      <c r="J21" s="16" t="s">
        <v>196</v>
      </c>
      <c r="K21" s="16">
        <v>13970000</v>
      </c>
    </row>
    <row r="22" spans="1:11">
      <c r="A22" s="15" t="s">
        <v>164</v>
      </c>
      <c r="B22" s="16">
        <v>11036439</v>
      </c>
      <c r="C22" s="16">
        <v>361369086</v>
      </c>
      <c r="D22" s="16">
        <v>9703312</v>
      </c>
      <c r="E22" s="16">
        <v>8955559</v>
      </c>
      <c r="F22" s="16">
        <v>1</v>
      </c>
      <c r="G22" s="16">
        <v>126710655</v>
      </c>
      <c r="H22" s="16">
        <v>72801140</v>
      </c>
      <c r="I22" s="16">
        <v>2700000</v>
      </c>
      <c r="J22" s="16">
        <v>20821901</v>
      </c>
      <c r="K22" s="16">
        <v>614098093</v>
      </c>
    </row>
    <row r="23" spans="1:11">
      <c r="A23" s="15" t="s">
        <v>9</v>
      </c>
      <c r="B23" s="16">
        <v>34831634530</v>
      </c>
      <c r="C23" s="16">
        <v>39550574159</v>
      </c>
      <c r="D23" s="16">
        <v>5260548760</v>
      </c>
      <c r="E23" s="16">
        <v>179165356</v>
      </c>
      <c r="F23" s="16">
        <v>302297031</v>
      </c>
      <c r="G23" s="16">
        <v>530664998</v>
      </c>
      <c r="H23" s="16">
        <v>6386090215</v>
      </c>
      <c r="I23" s="16">
        <v>14207980</v>
      </c>
      <c r="J23" s="16">
        <v>455433122</v>
      </c>
      <c r="K23" s="16">
        <v>87510616151</v>
      </c>
    </row>
  </sheetData>
  <phoneticPr fontId="4"/>
  <pageMargins left="0.3888888888888889" right="0.3888888888888889" top="0.3888888888888889" bottom="0.3888888888888889" header="0.19444444444444445" footer="0.19444444444444445"/>
  <pageSetup paperSize="9" scale="81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CFF"/>
    <pageSetUpPr fitToPage="1"/>
  </sheetPr>
  <dimension ref="A1:K25"/>
  <sheetViews>
    <sheetView view="pageBreakPreview" zoomScaleNormal="85" zoomScaleSheetLayoutView="100" workbookViewId="0"/>
  </sheetViews>
  <sheetFormatPr defaultColWidth="8.90625" defaultRowHeight="11"/>
  <cols>
    <col min="1" max="1" width="56" style="6" customWidth="1"/>
    <col min="2" max="11" width="15.36328125" style="6" customWidth="1"/>
    <col min="12" max="16384" width="8.90625" style="6"/>
  </cols>
  <sheetData>
    <row r="1" spans="1:10" ht="21" customHeight="1">
      <c r="A1" s="7" t="s">
        <v>0</v>
      </c>
    </row>
    <row r="2" spans="1:10" ht="13" customHeight="1">
      <c r="A2" s="8" t="s">
        <v>146</v>
      </c>
    </row>
    <row r="3" spans="1:10" ht="13" customHeight="1">
      <c r="A3" s="8" t="s">
        <v>285</v>
      </c>
    </row>
    <row r="4" spans="1:10" ht="13" customHeight="1"/>
    <row r="5" spans="1:10" ht="13">
      <c r="A5" s="9" t="s">
        <v>1</v>
      </c>
      <c r="H5" s="10" t="s">
        <v>111</v>
      </c>
    </row>
    <row r="6" spans="1:10" ht="37.5" customHeight="1">
      <c r="A6" s="48" t="s">
        <v>2</v>
      </c>
      <c r="B6" s="49" t="s">
        <v>3</v>
      </c>
      <c r="C6" s="49" t="s">
        <v>110</v>
      </c>
      <c r="D6" s="49" t="s">
        <v>4</v>
      </c>
      <c r="E6" s="49" t="s">
        <v>5</v>
      </c>
      <c r="F6" s="49" t="s">
        <v>6</v>
      </c>
      <c r="G6" s="49" t="s">
        <v>7</v>
      </c>
      <c r="H6" s="49" t="s">
        <v>8</v>
      </c>
    </row>
    <row r="7" spans="1:10" ht="18" customHeight="1">
      <c r="A7" s="5"/>
      <c r="B7" s="3"/>
      <c r="C7" s="3"/>
      <c r="D7" s="3"/>
      <c r="E7" s="3"/>
      <c r="F7" s="3"/>
      <c r="G7" s="3"/>
      <c r="H7" s="3"/>
    </row>
    <row r="8" spans="1:10" ht="18" customHeight="1">
      <c r="A8" s="11" t="s">
        <v>9</v>
      </c>
      <c r="B8" s="3" t="s">
        <v>108</v>
      </c>
      <c r="C8" s="3" t="s">
        <v>109</v>
      </c>
      <c r="D8" s="16" t="s">
        <v>196</v>
      </c>
      <c r="E8" s="16" t="s">
        <v>196</v>
      </c>
      <c r="F8" s="16" t="s">
        <v>196</v>
      </c>
      <c r="G8" s="16" t="s">
        <v>196</v>
      </c>
      <c r="H8" s="16" t="s">
        <v>196</v>
      </c>
    </row>
    <row r="10" spans="1:10" ht="13">
      <c r="A10" s="9" t="s">
        <v>10</v>
      </c>
      <c r="J10" s="10" t="s">
        <v>111</v>
      </c>
    </row>
    <row r="11" spans="1:10" ht="37.5" customHeight="1">
      <c r="A11" s="48" t="s">
        <v>11</v>
      </c>
      <c r="B11" s="49" t="s">
        <v>12</v>
      </c>
      <c r="C11" s="117" t="s">
        <v>13</v>
      </c>
      <c r="D11" s="117" t="s">
        <v>14</v>
      </c>
      <c r="E11" s="117" t="s">
        <v>15</v>
      </c>
      <c r="F11" s="117" t="s">
        <v>16</v>
      </c>
      <c r="G11" s="117" t="s">
        <v>17</v>
      </c>
      <c r="H11" s="49" t="s">
        <v>18</v>
      </c>
      <c r="I11" s="49" t="s">
        <v>19</v>
      </c>
      <c r="J11" s="49" t="s">
        <v>8</v>
      </c>
    </row>
    <row r="12" spans="1:10" ht="18" customHeight="1">
      <c r="A12" s="5" t="s">
        <v>112</v>
      </c>
      <c r="B12" s="68">
        <v>1800000000</v>
      </c>
      <c r="C12" s="3">
        <v>3667407372</v>
      </c>
      <c r="D12" s="3">
        <v>996692183</v>
      </c>
      <c r="E12" s="3">
        <f>C12-D12</f>
        <v>2670715189</v>
      </c>
      <c r="F12" s="3">
        <v>96000000</v>
      </c>
      <c r="G12" s="4">
        <v>0.94399999999999995</v>
      </c>
      <c r="H12" s="69">
        <f t="shared" ref="H12" si="0">E12*G12</f>
        <v>2521155138.4159999</v>
      </c>
      <c r="I12" s="16" t="s">
        <v>196</v>
      </c>
      <c r="J12" s="16" t="s">
        <v>196</v>
      </c>
    </row>
    <row r="13" spans="1:10" ht="18" customHeight="1">
      <c r="A13" s="5" t="s">
        <v>117</v>
      </c>
      <c r="B13" s="68">
        <v>5000000</v>
      </c>
      <c r="C13" s="3">
        <v>2606169185</v>
      </c>
      <c r="D13" s="3">
        <v>2595184401</v>
      </c>
      <c r="E13" s="3">
        <f t="shared" ref="E13" si="1">C13-D13</f>
        <v>10984784</v>
      </c>
      <c r="F13" s="3">
        <v>5000000</v>
      </c>
      <c r="G13" s="4">
        <f>B13/F13</f>
        <v>1</v>
      </c>
      <c r="H13" s="69">
        <f>E13*G13</f>
        <v>10984784</v>
      </c>
      <c r="I13" s="16" t="s">
        <v>196</v>
      </c>
      <c r="J13" s="16" t="s">
        <v>196</v>
      </c>
    </row>
    <row r="14" spans="1:10" ht="18" customHeight="1">
      <c r="A14" s="5" t="s">
        <v>114</v>
      </c>
      <c r="B14" s="68">
        <v>273217000</v>
      </c>
      <c r="C14" s="3">
        <v>22093921516</v>
      </c>
      <c r="D14" s="3">
        <v>12525083970</v>
      </c>
      <c r="E14" s="3">
        <f>C14-D14</f>
        <v>9568837546</v>
      </c>
      <c r="F14" s="3">
        <v>10346356912</v>
      </c>
      <c r="G14" s="4">
        <f>B14/F14</f>
        <v>2.6407072781639219E-2</v>
      </c>
      <c r="H14" s="69">
        <f t="shared" ref="H14:H15" si="2">E14*G14</f>
        <v>252684989.51290402</v>
      </c>
      <c r="I14" s="16" t="s">
        <v>196</v>
      </c>
      <c r="J14" s="16" t="s">
        <v>196</v>
      </c>
    </row>
    <row r="15" spans="1:10" ht="18" customHeight="1">
      <c r="A15" s="5" t="s">
        <v>204</v>
      </c>
      <c r="B15" s="3">
        <v>181710740</v>
      </c>
      <c r="C15" s="72">
        <v>14092027553</v>
      </c>
      <c r="D15" s="72">
        <v>10449990698</v>
      </c>
      <c r="E15" s="72">
        <f t="shared" ref="E15" si="3">C15-D15</f>
        <v>3642036855</v>
      </c>
      <c r="F15" s="72">
        <v>3138265054</v>
      </c>
      <c r="G15" s="115">
        <f t="shared" ref="G15" si="4">B15/F15</f>
        <v>5.7901654854931192E-2</v>
      </c>
      <c r="H15" s="3">
        <f t="shared" si="2"/>
        <v>210879960.94714907</v>
      </c>
      <c r="I15" s="16" t="s">
        <v>196</v>
      </c>
      <c r="J15" s="16" t="s">
        <v>196</v>
      </c>
    </row>
    <row r="16" spans="1:10" ht="18" customHeight="1">
      <c r="A16" s="11" t="s">
        <v>9</v>
      </c>
      <c r="B16" s="3">
        <f>SUM(B12:B15)</f>
        <v>2259927740</v>
      </c>
      <c r="C16" s="3">
        <f t="shared" ref="C16:H16" si="5">SUM(C12:C15)</f>
        <v>42459525626</v>
      </c>
      <c r="D16" s="3">
        <f t="shared" si="5"/>
        <v>26566951252</v>
      </c>
      <c r="E16" s="3">
        <f t="shared" si="5"/>
        <v>15892574374</v>
      </c>
      <c r="F16" s="3">
        <f t="shared" si="5"/>
        <v>13585621966</v>
      </c>
      <c r="G16" s="3" t="s">
        <v>109</v>
      </c>
      <c r="H16" s="3">
        <f t="shared" si="5"/>
        <v>2995704872.8760533</v>
      </c>
      <c r="I16" s="16" t="s">
        <v>196</v>
      </c>
      <c r="J16" s="16" t="s">
        <v>196</v>
      </c>
    </row>
    <row r="18" spans="1:11" ht="13">
      <c r="A18" s="9" t="s">
        <v>20</v>
      </c>
      <c r="K18" s="10" t="s">
        <v>111</v>
      </c>
    </row>
    <row r="19" spans="1:11" ht="37.5" customHeight="1">
      <c r="A19" s="48" t="s">
        <v>11</v>
      </c>
      <c r="B19" s="49" t="s">
        <v>21</v>
      </c>
      <c r="C19" s="49" t="s">
        <v>13</v>
      </c>
      <c r="D19" s="49" t="s">
        <v>14</v>
      </c>
      <c r="E19" s="49" t="s">
        <v>15</v>
      </c>
      <c r="F19" s="49" t="s">
        <v>197</v>
      </c>
      <c r="G19" s="49" t="s">
        <v>17</v>
      </c>
      <c r="H19" s="49" t="s">
        <v>18</v>
      </c>
      <c r="I19" s="49" t="s">
        <v>22</v>
      </c>
      <c r="J19" s="49" t="s">
        <v>23</v>
      </c>
      <c r="K19" s="49" t="s">
        <v>8</v>
      </c>
    </row>
    <row r="20" spans="1:11" ht="18" customHeight="1">
      <c r="A20" s="5" t="s">
        <v>201</v>
      </c>
      <c r="B20" s="3">
        <v>1625000</v>
      </c>
      <c r="C20" s="3">
        <v>19751248961</v>
      </c>
      <c r="D20" s="3">
        <v>8241638051</v>
      </c>
      <c r="E20" s="3">
        <f t="shared" ref="E20:E22" si="6">C20-D20</f>
        <v>11509610910</v>
      </c>
      <c r="F20" s="3">
        <v>1187480000</v>
      </c>
      <c r="G20" s="4">
        <f t="shared" ref="G20:G22" si="7">B20/F20</f>
        <v>1.3684441001111597E-3</v>
      </c>
      <c r="H20" s="3">
        <f t="shared" ref="H20:H22" si="8">E20*G20</f>
        <v>15750259.144364536</v>
      </c>
      <c r="I20" s="16" t="s">
        <v>196</v>
      </c>
      <c r="J20" s="3">
        <f>B20-SUM(I20)</f>
        <v>1625000</v>
      </c>
      <c r="K20" s="16" t="s">
        <v>196</v>
      </c>
    </row>
    <row r="21" spans="1:11" ht="18" customHeight="1">
      <c r="A21" s="5" t="s">
        <v>115</v>
      </c>
      <c r="B21" s="3">
        <v>3640000</v>
      </c>
      <c r="C21" s="3">
        <v>3331754331</v>
      </c>
      <c r="D21" s="3">
        <v>2491577</v>
      </c>
      <c r="E21" s="3">
        <f t="shared" si="6"/>
        <v>3329262754</v>
      </c>
      <c r="F21" s="3">
        <v>3051000624</v>
      </c>
      <c r="G21" s="4">
        <f t="shared" si="7"/>
        <v>1.1930512145316428E-3</v>
      </c>
      <c r="H21" s="3">
        <f t="shared" si="8"/>
        <v>3971980.972154662</v>
      </c>
      <c r="I21" s="16" t="s">
        <v>196</v>
      </c>
      <c r="J21" s="3">
        <f t="shared" ref="J21:J25" si="9">B21-SUM(I21)</f>
        <v>3640000</v>
      </c>
      <c r="K21" s="16" t="s">
        <v>196</v>
      </c>
    </row>
    <row r="22" spans="1:11" ht="18" customHeight="1" thickBot="1">
      <c r="A22" s="5" t="s">
        <v>116</v>
      </c>
      <c r="B22" s="3">
        <v>2900000</v>
      </c>
      <c r="C22" s="70">
        <v>23893823000000</v>
      </c>
      <c r="D22" s="70">
        <v>23444803000000</v>
      </c>
      <c r="E22" s="70">
        <f t="shared" si="6"/>
        <v>449020000000</v>
      </c>
      <c r="F22" s="70">
        <v>16602000000</v>
      </c>
      <c r="G22" s="71">
        <f t="shared" si="7"/>
        <v>1.7467774966871462E-4</v>
      </c>
      <c r="H22" s="3">
        <f t="shared" si="8"/>
        <v>78433803.156246245</v>
      </c>
      <c r="I22" s="16" t="s">
        <v>196</v>
      </c>
      <c r="J22" s="3">
        <f t="shared" si="9"/>
        <v>2900000</v>
      </c>
      <c r="K22" s="16" t="s">
        <v>196</v>
      </c>
    </row>
    <row r="23" spans="1:11" ht="18" customHeight="1">
      <c r="A23" s="5" t="s">
        <v>113</v>
      </c>
      <c r="B23" s="68">
        <v>320000</v>
      </c>
      <c r="C23" s="73"/>
      <c r="D23" s="74"/>
      <c r="E23" s="74">
        <f>C23-D23</f>
        <v>0</v>
      </c>
      <c r="F23" s="74"/>
      <c r="G23" s="75"/>
      <c r="H23" s="69">
        <f>E23*G23</f>
        <v>0</v>
      </c>
      <c r="I23" s="16" t="s">
        <v>196</v>
      </c>
      <c r="J23" s="3">
        <f t="shared" si="9"/>
        <v>320000</v>
      </c>
      <c r="K23" s="16" t="s">
        <v>196</v>
      </c>
    </row>
    <row r="24" spans="1:11" ht="18" customHeight="1" thickBot="1">
      <c r="A24" s="5" t="s">
        <v>200</v>
      </c>
      <c r="B24" s="68">
        <v>97000</v>
      </c>
      <c r="C24" s="76"/>
      <c r="D24" s="77"/>
      <c r="E24" s="77">
        <f t="shared" ref="E24" si="10">C24-D24</f>
        <v>0</v>
      </c>
      <c r="F24" s="77"/>
      <c r="G24" s="78"/>
      <c r="H24" s="69">
        <f t="shared" ref="H24" si="11">E24*G24</f>
        <v>0</v>
      </c>
      <c r="I24" s="16" t="s">
        <v>196</v>
      </c>
      <c r="J24" s="3">
        <f t="shared" si="9"/>
        <v>97000</v>
      </c>
      <c r="K24" s="16" t="s">
        <v>196</v>
      </c>
    </row>
    <row r="25" spans="1:11" ht="18" customHeight="1">
      <c r="A25" s="11" t="s">
        <v>9</v>
      </c>
      <c r="B25" s="3">
        <f>SUM(B20:B24)</f>
        <v>8582000</v>
      </c>
      <c r="C25" s="72">
        <f t="shared" ref="C25:H25" si="12">SUM(C20:C24)</f>
        <v>23916906003292</v>
      </c>
      <c r="D25" s="72">
        <f t="shared" si="12"/>
        <v>23453047129628</v>
      </c>
      <c r="E25" s="72">
        <f t="shared" si="12"/>
        <v>463858873664</v>
      </c>
      <c r="F25" s="72">
        <f t="shared" si="12"/>
        <v>20840480624</v>
      </c>
      <c r="G25" s="72" t="s">
        <v>109</v>
      </c>
      <c r="H25" s="3">
        <f t="shared" si="12"/>
        <v>98156043.272765443</v>
      </c>
      <c r="I25" s="16" t="s">
        <v>196</v>
      </c>
      <c r="J25" s="3">
        <f t="shared" si="9"/>
        <v>8582000</v>
      </c>
      <c r="K25" s="16" t="s">
        <v>196</v>
      </c>
    </row>
  </sheetData>
  <phoneticPr fontId="4"/>
  <pageMargins left="0.3888888888888889" right="0.3888888888888889" top="0.3888888888888889" bottom="0.3888888888888889" header="0.19444444444444445" footer="0.19444444444444445"/>
  <pageSetup paperSize="9" scale="67" fitToHeight="0" orientation="landscape" r:id="rId1"/>
  <headerFooter>
    <oddHeader>&amp;R&amp;9&amp;D</oddHeader>
    <oddFooter>&amp;C&amp;9&amp;P/&amp;N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  <pageSetUpPr fitToPage="1"/>
  </sheetPr>
  <dimension ref="A1:G14"/>
  <sheetViews>
    <sheetView view="pageBreakPreview" zoomScaleNormal="115" zoomScaleSheetLayoutView="100" workbookViewId="0"/>
  </sheetViews>
  <sheetFormatPr defaultColWidth="8.90625" defaultRowHeight="11"/>
  <cols>
    <col min="1" max="1" width="27.08984375" style="18" customWidth="1"/>
    <col min="2" max="7" width="19.90625" style="18" customWidth="1"/>
    <col min="8" max="16384" width="8.90625" style="18"/>
  </cols>
  <sheetData>
    <row r="1" spans="1:7" ht="21" customHeight="1">
      <c r="A1" s="17" t="s">
        <v>30</v>
      </c>
    </row>
    <row r="2" spans="1:7" ht="13" customHeight="1">
      <c r="A2" s="19" t="str">
        <f>〇投資及び出資金の明細!$A$2</f>
        <v>自治体名：清瀬市　一般会計等</v>
      </c>
    </row>
    <row r="3" spans="1:7" ht="13" customHeight="1">
      <c r="A3" s="19" t="str">
        <f>〇投資及び出資金の明細!$A$3</f>
        <v>年度：令和６年度</v>
      </c>
    </row>
    <row r="4" spans="1:7" ht="13" customHeight="1">
      <c r="G4" s="20" t="s">
        <v>111</v>
      </c>
    </row>
    <row r="5" spans="1:7" ht="22.5" customHeight="1">
      <c r="A5" s="50" t="s">
        <v>29</v>
      </c>
      <c r="B5" s="50" t="s">
        <v>28</v>
      </c>
      <c r="C5" s="50" t="s">
        <v>27</v>
      </c>
      <c r="D5" s="50" t="s">
        <v>26</v>
      </c>
      <c r="E5" s="50" t="s">
        <v>25</v>
      </c>
      <c r="F5" s="51" t="s">
        <v>24</v>
      </c>
      <c r="G5" s="51" t="s">
        <v>8</v>
      </c>
    </row>
    <row r="6" spans="1:7" ht="18" customHeight="1">
      <c r="A6" s="22" t="s">
        <v>118</v>
      </c>
      <c r="B6" s="1">
        <v>639373000</v>
      </c>
      <c r="C6" s="1" t="s">
        <v>108</v>
      </c>
      <c r="D6" s="1" t="s">
        <v>108</v>
      </c>
      <c r="E6" s="1" t="s">
        <v>108</v>
      </c>
      <c r="F6" s="1">
        <f>SUM(B6:E6)</f>
        <v>639373000</v>
      </c>
      <c r="G6" s="1" t="s">
        <v>108</v>
      </c>
    </row>
    <row r="7" spans="1:7" ht="18" customHeight="1">
      <c r="A7" s="22" t="s">
        <v>119</v>
      </c>
      <c r="B7" s="1">
        <v>1311228000</v>
      </c>
      <c r="C7" s="1" t="s">
        <v>108</v>
      </c>
      <c r="D7" s="1" t="s">
        <v>108</v>
      </c>
      <c r="E7" s="1" t="s">
        <v>108</v>
      </c>
      <c r="F7" s="1">
        <f t="shared" ref="F7:F13" si="0">SUM(B7:E7)</f>
        <v>1311228000</v>
      </c>
      <c r="G7" s="1" t="s">
        <v>108</v>
      </c>
    </row>
    <row r="8" spans="1:7" ht="18" customHeight="1">
      <c r="A8" s="22" t="s">
        <v>120</v>
      </c>
      <c r="B8" s="1">
        <v>2531533000</v>
      </c>
      <c r="C8" s="1" t="s">
        <v>108</v>
      </c>
      <c r="D8" s="1" t="s">
        <v>108</v>
      </c>
      <c r="E8" s="1" t="s">
        <v>108</v>
      </c>
      <c r="F8" s="1">
        <f t="shared" si="0"/>
        <v>2531533000</v>
      </c>
      <c r="G8" s="1" t="s">
        <v>108</v>
      </c>
    </row>
    <row r="9" spans="1:7" ht="18" customHeight="1">
      <c r="A9" s="22" t="s">
        <v>121</v>
      </c>
      <c r="B9" s="1">
        <v>116184000</v>
      </c>
      <c r="C9" s="1" t="s">
        <v>108</v>
      </c>
      <c r="D9" s="1" t="s">
        <v>108</v>
      </c>
      <c r="E9" s="1" t="s">
        <v>108</v>
      </c>
      <c r="F9" s="1">
        <f t="shared" si="0"/>
        <v>116184000</v>
      </c>
      <c r="G9" s="1" t="s">
        <v>108</v>
      </c>
    </row>
    <row r="10" spans="1:7" ht="18" hidden="1" customHeight="1">
      <c r="A10" s="22" t="s">
        <v>122</v>
      </c>
      <c r="B10" s="1">
        <v>0</v>
      </c>
      <c r="C10" s="1" t="s">
        <v>108</v>
      </c>
      <c r="D10" s="1" t="s">
        <v>108</v>
      </c>
      <c r="E10" s="1" t="s">
        <v>108</v>
      </c>
      <c r="F10" s="1">
        <f t="shared" si="0"/>
        <v>0</v>
      </c>
      <c r="G10" s="1" t="s">
        <v>108</v>
      </c>
    </row>
    <row r="11" spans="1:7" ht="18" hidden="1" customHeight="1">
      <c r="A11" s="22" t="s">
        <v>123</v>
      </c>
      <c r="B11" s="1">
        <v>0</v>
      </c>
      <c r="C11" s="1" t="s">
        <v>108</v>
      </c>
      <c r="D11" s="1" t="s">
        <v>108</v>
      </c>
      <c r="E11" s="1" t="s">
        <v>108</v>
      </c>
      <c r="F11" s="1">
        <f t="shared" si="0"/>
        <v>0</v>
      </c>
      <c r="G11" s="1" t="s">
        <v>108</v>
      </c>
    </row>
    <row r="12" spans="1:7" ht="18" customHeight="1">
      <c r="A12" s="22" t="s">
        <v>124</v>
      </c>
      <c r="B12" s="1">
        <v>57955000</v>
      </c>
      <c r="C12" s="1" t="s">
        <v>108</v>
      </c>
      <c r="D12" s="1" t="s">
        <v>108</v>
      </c>
      <c r="E12" s="1" t="s">
        <v>108</v>
      </c>
      <c r="F12" s="1">
        <f t="shared" si="0"/>
        <v>57955000</v>
      </c>
      <c r="G12" s="1" t="s">
        <v>108</v>
      </c>
    </row>
    <row r="13" spans="1:7" ht="18" customHeight="1">
      <c r="A13" s="22" t="s">
        <v>125</v>
      </c>
      <c r="B13" s="1">
        <v>17348000</v>
      </c>
      <c r="C13" s="1" t="s">
        <v>108</v>
      </c>
      <c r="D13" s="1" t="s">
        <v>108</v>
      </c>
      <c r="E13" s="1" t="s">
        <v>108</v>
      </c>
      <c r="F13" s="1">
        <f t="shared" si="0"/>
        <v>17348000</v>
      </c>
      <c r="G13" s="1" t="s">
        <v>108</v>
      </c>
    </row>
    <row r="14" spans="1:7" ht="18" customHeight="1">
      <c r="A14" s="21" t="s">
        <v>9</v>
      </c>
      <c r="B14" s="1">
        <f t="shared" ref="B14:F14" si="1">SUM(B6:B13)</f>
        <v>4673621000</v>
      </c>
      <c r="C14" s="1" t="s">
        <v>108</v>
      </c>
      <c r="D14" s="1" t="s">
        <v>108</v>
      </c>
      <c r="E14" s="1" t="s">
        <v>108</v>
      </c>
      <c r="F14" s="1">
        <f t="shared" si="1"/>
        <v>4673621000</v>
      </c>
      <c r="G14" s="1" t="s">
        <v>108</v>
      </c>
    </row>
  </sheetData>
  <phoneticPr fontId="4"/>
  <pageMargins left="0.3888888888888889" right="0.3888888888888889" top="0.3888888888888889" bottom="0.3888888888888889" header="0.19444444444444445" footer="0.19444444444444445"/>
  <pageSetup paperSize="9" scale="96" fitToHeight="0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F10"/>
  <sheetViews>
    <sheetView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8.90625" defaultRowHeight="11"/>
  <cols>
    <col min="1" max="1" width="30.90625" style="6" customWidth="1"/>
    <col min="2" max="6" width="19.90625" style="6" customWidth="1"/>
    <col min="7" max="16384" width="8.90625" style="6"/>
  </cols>
  <sheetData>
    <row r="1" spans="1:6" ht="21" customHeight="1">
      <c r="A1" s="7" t="s">
        <v>37</v>
      </c>
    </row>
    <row r="2" spans="1:6" ht="13" customHeight="1">
      <c r="A2" s="19" t="str">
        <f>〇投資及び出資金の明細!$A$2</f>
        <v>自治体名：清瀬市　一般会計等</v>
      </c>
    </row>
    <row r="3" spans="1:6" ht="13" customHeight="1">
      <c r="A3" s="19" t="str">
        <f>〇投資及び出資金の明細!$A$3</f>
        <v>年度：令和６年度</v>
      </c>
    </row>
    <row r="4" spans="1:6" ht="13" customHeight="1">
      <c r="F4" s="10" t="s">
        <v>111</v>
      </c>
    </row>
    <row r="5" spans="1:6" ht="22.5" customHeight="1">
      <c r="A5" s="118" t="s">
        <v>36</v>
      </c>
      <c r="B5" s="118" t="s">
        <v>35</v>
      </c>
      <c r="C5" s="118"/>
      <c r="D5" s="118" t="s">
        <v>34</v>
      </c>
      <c r="E5" s="118"/>
      <c r="F5" s="119" t="s">
        <v>33</v>
      </c>
    </row>
    <row r="6" spans="1:6" ht="22.5" customHeight="1">
      <c r="A6" s="118"/>
      <c r="B6" s="48" t="s">
        <v>32</v>
      </c>
      <c r="C6" s="49" t="s">
        <v>191</v>
      </c>
      <c r="D6" s="48" t="s">
        <v>32</v>
      </c>
      <c r="E6" s="49" t="s">
        <v>31</v>
      </c>
      <c r="F6" s="118"/>
    </row>
    <row r="7" spans="1:6" ht="18" customHeight="1">
      <c r="A7" s="5" t="s">
        <v>126</v>
      </c>
      <c r="B7" s="1" t="s">
        <v>108</v>
      </c>
      <c r="C7" s="1" t="s">
        <v>108</v>
      </c>
      <c r="D7" s="1" t="s">
        <v>108</v>
      </c>
      <c r="E7" s="1" t="s">
        <v>108</v>
      </c>
      <c r="F7" s="1" t="s">
        <v>108</v>
      </c>
    </row>
    <row r="8" spans="1:6" ht="18" customHeight="1">
      <c r="A8" s="5" t="s">
        <v>127</v>
      </c>
      <c r="B8" s="3">
        <v>1485000</v>
      </c>
      <c r="C8" s="1" t="s">
        <v>108</v>
      </c>
      <c r="D8" s="1" t="s">
        <v>108</v>
      </c>
      <c r="E8" s="1" t="s">
        <v>108</v>
      </c>
      <c r="F8" s="3">
        <f>B8</f>
        <v>1485000</v>
      </c>
    </row>
    <row r="9" spans="1:6" ht="18" customHeight="1">
      <c r="A9" s="5" t="s">
        <v>203</v>
      </c>
      <c r="B9" s="3">
        <v>65561984</v>
      </c>
      <c r="C9" s="1" t="s">
        <v>108</v>
      </c>
      <c r="D9" s="1" t="s">
        <v>108</v>
      </c>
      <c r="E9" s="1" t="s">
        <v>108</v>
      </c>
      <c r="F9" s="3">
        <f>B9</f>
        <v>65561984</v>
      </c>
    </row>
    <row r="10" spans="1:6" ht="18" customHeight="1">
      <c r="A10" s="11" t="s">
        <v>9</v>
      </c>
      <c r="B10" s="3">
        <f>SUM(B7:B9)</f>
        <v>67046984</v>
      </c>
      <c r="C10" s="1" t="s">
        <v>108</v>
      </c>
      <c r="D10" s="1" t="s">
        <v>108</v>
      </c>
      <c r="E10" s="1" t="s">
        <v>108</v>
      </c>
      <c r="F10" s="3">
        <f>SUM(F7:F9)</f>
        <v>67046984</v>
      </c>
    </row>
  </sheetData>
  <mergeCells count="4">
    <mergeCell ref="A5:A6"/>
    <mergeCell ref="B5:C5"/>
    <mergeCell ref="D5:E5"/>
    <mergeCell ref="F5:F6"/>
  </mergeCells>
  <phoneticPr fontId="4"/>
  <pageMargins left="0.39370078740157483" right="0.39370078740157483" top="0.39370078740157483" bottom="0.39370078740157483" header="0.19685039370078741" footer="0.19685039370078741"/>
  <pageSetup paperSize="9" orientation="landscape" cellComments="asDisplayed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D29"/>
  <sheetViews>
    <sheetView view="pageBreakPreview" topLeftCell="A18" zoomScaleNormal="85" zoomScaleSheetLayoutView="100" workbookViewId="0"/>
  </sheetViews>
  <sheetFormatPr defaultColWidth="8.90625" defaultRowHeight="11"/>
  <cols>
    <col min="1" max="1" width="30.90625" style="18" customWidth="1"/>
    <col min="2" max="3" width="19.90625" style="18" customWidth="1"/>
    <col min="4" max="16384" width="8.90625" style="18"/>
  </cols>
  <sheetData>
    <row r="1" spans="1:3" ht="21" customHeight="1">
      <c r="A1" s="17" t="s">
        <v>41</v>
      </c>
    </row>
    <row r="2" spans="1:3" ht="13" customHeight="1">
      <c r="A2" s="19" t="str">
        <f>〇投資及び出資金の明細!$A$2</f>
        <v>自治体名：清瀬市　一般会計等</v>
      </c>
    </row>
    <row r="3" spans="1:3" ht="13" customHeight="1">
      <c r="A3" s="19" t="str">
        <f>〇投資及び出資金の明細!$A$3</f>
        <v>年度：令和６年度</v>
      </c>
    </row>
    <row r="4" spans="1:3" ht="13" customHeight="1">
      <c r="C4" s="20" t="s">
        <v>111</v>
      </c>
    </row>
    <row r="5" spans="1:3" ht="22.5" customHeight="1">
      <c r="A5" s="50" t="s">
        <v>36</v>
      </c>
      <c r="B5" s="50" t="s">
        <v>32</v>
      </c>
      <c r="C5" s="50" t="s">
        <v>40</v>
      </c>
    </row>
    <row r="6" spans="1:3" ht="18" customHeight="1">
      <c r="A6" s="22" t="s">
        <v>192</v>
      </c>
      <c r="B6" s="1"/>
      <c r="C6" s="1"/>
    </row>
    <row r="7" spans="1:3" ht="18" customHeight="1">
      <c r="A7" s="46" t="s">
        <v>128</v>
      </c>
      <c r="B7" s="1">
        <v>33921386</v>
      </c>
      <c r="C7" s="1">
        <f>ROUND(B7/($B$29)*$C$29,0)</f>
        <v>4176977</v>
      </c>
    </row>
    <row r="8" spans="1:3" ht="18" customHeight="1">
      <c r="A8" s="46" t="s">
        <v>129</v>
      </c>
      <c r="B8" s="1">
        <v>807600</v>
      </c>
      <c r="C8" s="1">
        <f>ROUND(B8/($B$29)*$C$29,0)</f>
        <v>99445</v>
      </c>
    </row>
    <row r="9" spans="1:3" ht="18" customHeight="1">
      <c r="A9" s="46" t="s">
        <v>130</v>
      </c>
      <c r="B9" s="1">
        <v>10001411</v>
      </c>
      <c r="C9" s="1">
        <f>ROUND(B9/($B$29)*$C$29,0)</f>
        <v>1231544</v>
      </c>
    </row>
    <row r="10" spans="1:3" ht="18" customHeight="1">
      <c r="A10" s="46" t="s">
        <v>131</v>
      </c>
      <c r="B10" s="1">
        <v>1255167</v>
      </c>
      <c r="C10" s="1">
        <f>ROUND(B10/($B$29)*$C$29,0)</f>
        <v>154557</v>
      </c>
    </row>
    <row r="11" spans="1:3" ht="18" customHeight="1">
      <c r="A11" s="46" t="s">
        <v>132</v>
      </c>
      <c r="B11" s="1">
        <v>2419217</v>
      </c>
      <c r="C11" s="1">
        <f>ROUND(B11/($B$29)*$C$29,0)</f>
        <v>297895</v>
      </c>
    </row>
    <row r="12" spans="1:3" ht="18" customHeight="1" thickBot="1">
      <c r="A12" s="47" t="s">
        <v>38</v>
      </c>
      <c r="B12" s="80">
        <f>SUM(B7:B11)</f>
        <v>48404781</v>
      </c>
      <c r="C12" s="80">
        <f>SUM(C7:C11)</f>
        <v>5960418</v>
      </c>
    </row>
    <row r="13" spans="1:3" ht="18" customHeight="1" thickTop="1">
      <c r="A13" s="22" t="s">
        <v>194</v>
      </c>
      <c r="B13" s="1"/>
      <c r="C13" s="1"/>
    </row>
    <row r="14" spans="1:3" ht="18" hidden="1" customHeight="1" thickTop="1">
      <c r="A14" s="46" t="s">
        <v>133</v>
      </c>
      <c r="B14" s="1">
        <v>0</v>
      </c>
      <c r="C14" s="1">
        <v>0</v>
      </c>
    </row>
    <row r="15" spans="1:3" ht="18" customHeight="1">
      <c r="A15" s="46" t="s">
        <v>134</v>
      </c>
      <c r="B15" s="1">
        <v>500</v>
      </c>
      <c r="C15" s="1">
        <f>ROUND(B15/($B$29)*$C$29,0)</f>
        <v>62</v>
      </c>
    </row>
    <row r="16" spans="1:3" ht="18" customHeight="1">
      <c r="A16" s="46" t="s">
        <v>137</v>
      </c>
      <c r="B16" s="1">
        <v>252200</v>
      </c>
      <c r="C16" s="1">
        <f>ROUND(B16/($B$29)*$C$29,0)</f>
        <v>31055</v>
      </c>
    </row>
    <row r="17" spans="1:4" ht="18" customHeight="1">
      <c r="A17" s="46" t="s">
        <v>138</v>
      </c>
      <c r="B17" s="1">
        <v>701440</v>
      </c>
      <c r="C17" s="1">
        <f>ROUND(B17/($B$29)*$C$29,0)</f>
        <v>86373</v>
      </c>
    </row>
    <row r="18" spans="1:4" ht="18" customHeight="1">
      <c r="A18" s="46" t="s">
        <v>139</v>
      </c>
      <c r="B18" s="1">
        <v>17100</v>
      </c>
      <c r="C18" s="1">
        <f>ROUND(B18/($B$29)*$C$29,0)</f>
        <v>2106</v>
      </c>
    </row>
    <row r="19" spans="1:4" ht="18" customHeight="1" thickBot="1">
      <c r="A19" s="47" t="s">
        <v>38</v>
      </c>
      <c r="B19" s="80">
        <f>SUM(B14:B18)</f>
        <v>971240</v>
      </c>
      <c r="C19" s="80">
        <f>SUM(C15:C18)</f>
        <v>119596</v>
      </c>
    </row>
    <row r="20" spans="1:4" ht="18" customHeight="1" thickTop="1">
      <c r="A20" s="22" t="s">
        <v>193</v>
      </c>
      <c r="B20" s="1"/>
      <c r="C20" s="1"/>
    </row>
    <row r="21" spans="1:4" ht="18" customHeight="1">
      <c r="A21" s="46" t="s">
        <v>135</v>
      </c>
      <c r="B21" s="1">
        <v>234280</v>
      </c>
      <c r="C21" s="1">
        <f>ROUND(B21/($B$29)*$C$29,0)</f>
        <v>28849</v>
      </c>
    </row>
    <row r="22" spans="1:4" ht="18" customHeight="1" thickBot="1">
      <c r="A22" s="47" t="s">
        <v>38</v>
      </c>
      <c r="B22" s="80">
        <f>SUM(B21:B21)</f>
        <v>234280</v>
      </c>
      <c r="C22" s="80">
        <f>SUM(C21:C21)</f>
        <v>28849</v>
      </c>
    </row>
    <row r="23" spans="1:4" ht="18" customHeight="1" thickTop="1">
      <c r="A23" s="22" t="s">
        <v>39</v>
      </c>
      <c r="B23" s="1"/>
      <c r="C23" s="1"/>
    </row>
    <row r="24" spans="1:4" ht="18" customHeight="1">
      <c r="A24" s="22" t="s">
        <v>190</v>
      </c>
      <c r="B24" s="81">
        <v>2264750</v>
      </c>
      <c r="C24" s="1">
        <f>ROUND(B24/($B$29)*$C$29,0)+1</f>
        <v>278875</v>
      </c>
      <c r="D24" s="18" t="s">
        <v>286</v>
      </c>
    </row>
    <row r="25" spans="1:4" ht="18" customHeight="1" thickBot="1">
      <c r="A25" s="47" t="s">
        <v>38</v>
      </c>
      <c r="B25" s="80">
        <f>SUM(B24:B24)</f>
        <v>2264750</v>
      </c>
      <c r="C25" s="80">
        <f>SUM(C24:C24)</f>
        <v>278875</v>
      </c>
    </row>
    <row r="26" spans="1:4" ht="18" customHeight="1" thickTop="1">
      <c r="A26" s="22" t="s">
        <v>202</v>
      </c>
      <c r="B26" s="1"/>
      <c r="C26" s="1"/>
    </row>
    <row r="27" spans="1:4" ht="18" customHeight="1">
      <c r="A27" s="46" t="s">
        <v>140</v>
      </c>
      <c r="B27" s="1">
        <v>86078632</v>
      </c>
      <c r="C27" s="1">
        <f>ROUND(B27/($B$29)*$C$29,0)</f>
        <v>10599463</v>
      </c>
    </row>
    <row r="28" spans="1:4" ht="18" customHeight="1" thickBot="1">
      <c r="A28" s="47" t="s">
        <v>38</v>
      </c>
      <c r="B28" s="80">
        <f>SUM(B27)</f>
        <v>86078632</v>
      </c>
      <c r="C28" s="80">
        <f>SUM(C27)</f>
        <v>10599463</v>
      </c>
    </row>
    <row r="29" spans="1:4" ht="18" customHeight="1" thickTop="1">
      <c r="A29" s="21" t="s">
        <v>9</v>
      </c>
      <c r="B29" s="82">
        <f>B12+B19+B22+B25+B28</f>
        <v>137953683</v>
      </c>
      <c r="C29" s="82">
        <v>16987201</v>
      </c>
    </row>
  </sheetData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D26"/>
  <sheetViews>
    <sheetView view="pageBreakPreview" zoomScaleNormal="100" zoomScaleSheetLayoutView="100" workbookViewId="0"/>
  </sheetViews>
  <sheetFormatPr defaultColWidth="8.90625" defaultRowHeight="11"/>
  <cols>
    <col min="1" max="1" width="30.90625" style="18" customWidth="1"/>
    <col min="2" max="3" width="19.90625" style="18" customWidth="1"/>
    <col min="4" max="16384" width="8.90625" style="18"/>
  </cols>
  <sheetData>
    <row r="1" spans="1:4" ht="21" customHeight="1">
      <c r="A1" s="17" t="s">
        <v>42</v>
      </c>
    </row>
    <row r="2" spans="1:4" ht="13" customHeight="1">
      <c r="A2" s="19" t="str">
        <f>〇投資及び出資金の明細!$A$2</f>
        <v>自治体名：清瀬市　一般会計等</v>
      </c>
    </row>
    <row r="3" spans="1:4" ht="13" customHeight="1">
      <c r="A3" s="19" t="str">
        <f>〇投資及び出資金の明細!$A$3</f>
        <v>年度：令和６年度</v>
      </c>
    </row>
    <row r="4" spans="1:4" ht="13" customHeight="1">
      <c r="C4" s="20" t="s">
        <v>111</v>
      </c>
    </row>
    <row r="5" spans="1:4" ht="22.5" customHeight="1">
      <c r="A5" s="50" t="s">
        <v>36</v>
      </c>
      <c r="B5" s="50" t="s">
        <v>32</v>
      </c>
      <c r="C5" s="50" t="s">
        <v>40</v>
      </c>
    </row>
    <row r="6" spans="1:4" ht="18" customHeight="1">
      <c r="A6" s="22" t="s">
        <v>192</v>
      </c>
      <c r="B6" s="1"/>
      <c r="C6" s="1"/>
    </row>
    <row r="7" spans="1:4" ht="18" customHeight="1">
      <c r="A7" s="46" t="s">
        <v>128</v>
      </c>
      <c r="B7" s="1">
        <v>27922485</v>
      </c>
      <c r="C7" s="1">
        <f>ROUND(B7/$B$26*$C$26,0)</f>
        <v>7292500</v>
      </c>
    </row>
    <row r="8" spans="1:4" ht="18" customHeight="1">
      <c r="A8" s="46" t="s">
        <v>129</v>
      </c>
      <c r="B8" s="1">
        <v>565100</v>
      </c>
      <c r="C8" s="1">
        <f t="shared" ref="C8:C11" si="0">ROUND(B8/$B$26*$C$26,0)</f>
        <v>147587</v>
      </c>
    </row>
    <row r="9" spans="1:4" ht="18" customHeight="1">
      <c r="A9" s="46" t="s">
        <v>130</v>
      </c>
      <c r="B9" s="1">
        <v>8321136</v>
      </c>
      <c r="C9" s="1">
        <f>ROUND(B9/$B$26*$C$26,0)+1</f>
        <v>2173227</v>
      </c>
      <c r="D9" s="18" t="s">
        <v>288</v>
      </c>
    </row>
    <row r="10" spans="1:4" ht="18" customHeight="1">
      <c r="A10" s="46" t="s">
        <v>131</v>
      </c>
      <c r="B10" s="1">
        <v>866200</v>
      </c>
      <c r="C10" s="1">
        <f t="shared" si="0"/>
        <v>226225</v>
      </c>
    </row>
    <row r="11" spans="1:4" ht="18" customHeight="1">
      <c r="A11" s="46" t="s">
        <v>132</v>
      </c>
      <c r="B11" s="1">
        <v>1983750</v>
      </c>
      <c r="C11" s="1">
        <f t="shared" si="0"/>
        <v>518095</v>
      </c>
    </row>
    <row r="12" spans="1:4" ht="18" customHeight="1" thickBot="1">
      <c r="A12" s="47" t="s">
        <v>38</v>
      </c>
      <c r="B12" s="80">
        <f>SUM(B7:B11)</f>
        <v>39658671</v>
      </c>
      <c r="C12" s="80">
        <f>SUM(C7:C11)</f>
        <v>10357634</v>
      </c>
    </row>
    <row r="13" spans="1:4" ht="18" customHeight="1" thickTop="1">
      <c r="A13" s="22" t="s">
        <v>194</v>
      </c>
      <c r="B13" s="1"/>
      <c r="C13" s="1"/>
    </row>
    <row r="14" spans="1:4" ht="18" customHeight="1">
      <c r="A14" s="46" t="s">
        <v>136</v>
      </c>
      <c r="B14" s="1">
        <v>310800</v>
      </c>
      <c r="C14" s="1">
        <f>ROUND(B14/$B$26*$C$26,0)</f>
        <v>81171</v>
      </c>
    </row>
    <row r="15" spans="1:4" ht="18" customHeight="1">
      <c r="A15" s="46" t="s">
        <v>212</v>
      </c>
      <c r="B15" s="1">
        <v>5050</v>
      </c>
      <c r="C15" s="1">
        <f>ROUND(B15/$B$26*$C$26,0)</f>
        <v>1319</v>
      </c>
    </row>
    <row r="16" spans="1:4" ht="18" customHeight="1">
      <c r="A16" s="46" t="s">
        <v>138</v>
      </c>
      <c r="B16" s="1">
        <v>234300</v>
      </c>
      <c r="C16" s="1">
        <f>ROUND(B16/$B$26*$C$26,0)</f>
        <v>61192</v>
      </c>
    </row>
    <row r="17" spans="1:3" ht="18" customHeight="1">
      <c r="A17" s="46" t="s">
        <v>280</v>
      </c>
      <c r="B17" s="1">
        <v>80600</v>
      </c>
      <c r="C17" s="1">
        <f>ROUND(B17/$B$26*$C$26,0)</f>
        <v>21050</v>
      </c>
    </row>
    <row r="18" spans="1:3" ht="18" customHeight="1">
      <c r="A18" s="46" t="s">
        <v>205</v>
      </c>
      <c r="B18" s="1">
        <v>11700</v>
      </c>
      <c r="C18" s="1">
        <f t="shared" ref="C18" si="1">ROUND(B18/$B$26*$C$26,0)</f>
        <v>3056</v>
      </c>
    </row>
    <row r="19" spans="1:3" ht="18" customHeight="1" thickBot="1">
      <c r="A19" s="47" t="s">
        <v>38</v>
      </c>
      <c r="B19" s="80">
        <f>SUM(B14:B18)</f>
        <v>642450</v>
      </c>
      <c r="C19" s="80">
        <f>SUM(C14:C18)</f>
        <v>167788</v>
      </c>
    </row>
    <row r="20" spans="1:3" ht="18" customHeight="1" thickTop="1">
      <c r="A20" s="22" t="s">
        <v>195</v>
      </c>
      <c r="B20" s="1"/>
      <c r="C20" s="1"/>
    </row>
    <row r="21" spans="1:3" ht="18" customHeight="1">
      <c r="A21" s="46" t="s">
        <v>135</v>
      </c>
      <c r="B21" s="1">
        <v>227000</v>
      </c>
      <c r="C21" s="1">
        <f>ROUND(B21/$B$26*$C$26,0)</f>
        <v>59285</v>
      </c>
    </row>
    <row r="22" spans="1:3" ht="18" customHeight="1" thickBot="1">
      <c r="A22" s="47" t="s">
        <v>38</v>
      </c>
      <c r="B22" s="80">
        <f>SUM(B21)</f>
        <v>227000</v>
      </c>
      <c r="C22" s="80">
        <f>SUM(C21)</f>
        <v>59285</v>
      </c>
    </row>
    <row r="23" spans="1:3" ht="18" customHeight="1" thickTop="1">
      <c r="A23" s="22" t="s">
        <v>206</v>
      </c>
      <c r="B23" s="1"/>
      <c r="C23" s="1"/>
    </row>
    <row r="24" spans="1:3" ht="18" customHeight="1">
      <c r="A24" s="46" t="s">
        <v>287</v>
      </c>
      <c r="B24" s="1">
        <v>19502592</v>
      </c>
      <c r="C24" s="1">
        <f>ROUND(B24/$B$26*$C$26,0)</f>
        <v>5093481</v>
      </c>
    </row>
    <row r="25" spans="1:3" ht="18" customHeight="1" thickBot="1">
      <c r="A25" s="47" t="s">
        <v>38</v>
      </c>
      <c r="B25" s="80">
        <f>SUM(B24:B24)</f>
        <v>19502592</v>
      </c>
      <c r="C25" s="80">
        <f>SUM(C24:C24)</f>
        <v>5093481</v>
      </c>
    </row>
    <row r="26" spans="1:3" ht="18" customHeight="1" thickTop="1">
      <c r="A26" s="21" t="s">
        <v>9</v>
      </c>
      <c r="B26" s="82">
        <f>B12+B19+B22+B25</f>
        <v>60030713</v>
      </c>
      <c r="C26" s="82">
        <v>15678188</v>
      </c>
    </row>
  </sheetData>
  <phoneticPr fontId="4"/>
  <pageMargins left="0.3888888888888889" right="0.3888888888888889" top="0.3888888888888889" bottom="0.3888888888888889" header="0.19444444444444445" footer="0.19444444444444445"/>
  <pageSetup paperSize="9" scale="95" orientation="landscape" r:id="rId1"/>
  <headerFooter>
    <oddHeader>&amp;R&amp;9&amp;D</oddHeader>
    <oddFooter>&amp;C&amp;9&amp;P/&amp;N</oddFooter>
  </headerFooter>
  <ignoredErrors>
    <ignoredError sqref="C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CCFF"/>
  </sheetPr>
  <dimension ref="A1:F12"/>
  <sheetViews>
    <sheetView view="pageBreakPreview" zoomScaleNormal="115" zoomScaleSheetLayoutView="100" workbookViewId="0"/>
  </sheetViews>
  <sheetFormatPr defaultColWidth="8.90625" defaultRowHeight="11"/>
  <cols>
    <col min="1" max="1" width="26.6328125" style="6" customWidth="1"/>
    <col min="2" max="6" width="20.90625" style="6" customWidth="1"/>
    <col min="7" max="16384" width="8.90625" style="6"/>
  </cols>
  <sheetData>
    <row r="1" spans="1:6" ht="21" customHeight="1">
      <c r="A1" s="7" t="s">
        <v>92</v>
      </c>
    </row>
    <row r="2" spans="1:6" ht="13" customHeight="1">
      <c r="A2" s="19" t="str">
        <f>〇投資及び出資金の明細!$A$2</f>
        <v>自治体名：清瀬市　一般会計等</v>
      </c>
    </row>
    <row r="3" spans="1:6" ht="13" customHeight="1">
      <c r="A3" s="19" t="str">
        <f>〇投資及び出資金の明細!$A$3</f>
        <v>年度：令和６年度</v>
      </c>
    </row>
    <row r="4" spans="1:6" ht="13" customHeight="1">
      <c r="F4" s="10" t="s">
        <v>111</v>
      </c>
    </row>
    <row r="5" spans="1:6" ht="22.5" customHeight="1">
      <c r="A5" s="118" t="s">
        <v>91</v>
      </c>
      <c r="B5" s="118" t="s">
        <v>90</v>
      </c>
      <c r="C5" s="118" t="s">
        <v>89</v>
      </c>
      <c r="D5" s="118" t="s">
        <v>88</v>
      </c>
      <c r="E5" s="118"/>
      <c r="F5" s="118" t="s">
        <v>87</v>
      </c>
    </row>
    <row r="6" spans="1:6" ht="22.5" customHeight="1">
      <c r="A6" s="118"/>
      <c r="B6" s="118"/>
      <c r="C6" s="118"/>
      <c r="D6" s="48" t="s">
        <v>86</v>
      </c>
      <c r="E6" s="48" t="s">
        <v>25</v>
      </c>
      <c r="F6" s="118"/>
    </row>
    <row r="7" spans="1:6" ht="18" customHeight="1">
      <c r="A7" s="5" t="s">
        <v>198</v>
      </c>
      <c r="B7" s="3">
        <v>27364843</v>
      </c>
      <c r="C7" s="3">
        <f>16987201+7223261</f>
        <v>24210462</v>
      </c>
      <c r="D7" s="3">
        <v>18909916</v>
      </c>
      <c r="E7" s="3" t="s">
        <v>196</v>
      </c>
      <c r="F7" s="3">
        <f>SUM(B7,C7,-SUM(D7:E7))</f>
        <v>32665389</v>
      </c>
    </row>
    <row r="8" spans="1:6" ht="18" customHeight="1">
      <c r="A8" s="5" t="s">
        <v>141</v>
      </c>
      <c r="B8" s="3" t="s">
        <v>196</v>
      </c>
      <c r="C8" s="3" t="s">
        <v>196</v>
      </c>
      <c r="D8" s="3" t="s">
        <v>196</v>
      </c>
      <c r="E8" s="3" t="s">
        <v>196</v>
      </c>
      <c r="F8" s="3">
        <f t="shared" ref="F8:F11" si="0">SUM(B8,C8,-SUM(D8:E8))</f>
        <v>0</v>
      </c>
    </row>
    <row r="9" spans="1:6" ht="18" customHeight="1">
      <c r="A9" s="5" t="s">
        <v>142</v>
      </c>
      <c r="B9" s="3">
        <v>4107424000</v>
      </c>
      <c r="C9" s="3" t="s">
        <v>196</v>
      </c>
      <c r="D9" s="3" t="s">
        <v>196</v>
      </c>
      <c r="E9" s="3">
        <v>28235000</v>
      </c>
      <c r="F9" s="3">
        <f t="shared" si="0"/>
        <v>4079189000</v>
      </c>
    </row>
    <row r="10" spans="1:6" ht="18" customHeight="1">
      <c r="A10" s="5" t="s">
        <v>143</v>
      </c>
      <c r="B10" s="3">
        <v>23040000</v>
      </c>
      <c r="C10" s="3" t="s">
        <v>108</v>
      </c>
      <c r="D10" s="3" t="s">
        <v>108</v>
      </c>
      <c r="E10" s="3">
        <v>3792000</v>
      </c>
      <c r="F10" s="3">
        <f t="shared" si="0"/>
        <v>19248000</v>
      </c>
    </row>
    <row r="11" spans="1:6" ht="18" customHeight="1">
      <c r="A11" s="5" t="s">
        <v>144</v>
      </c>
      <c r="B11" s="3">
        <v>298053897</v>
      </c>
      <c r="C11" s="3">
        <v>331773091</v>
      </c>
      <c r="D11" s="3">
        <v>298053897</v>
      </c>
      <c r="E11" s="3" t="s">
        <v>196</v>
      </c>
      <c r="F11" s="3">
        <f t="shared" si="0"/>
        <v>331773091</v>
      </c>
    </row>
    <row r="12" spans="1:6" ht="18" customHeight="1">
      <c r="A12" s="11" t="s">
        <v>9</v>
      </c>
      <c r="B12" s="23">
        <f t="shared" ref="B12:E12" si="1">SUM(B7:B11)</f>
        <v>4455882740</v>
      </c>
      <c r="C12" s="23">
        <f t="shared" si="1"/>
        <v>355983553</v>
      </c>
      <c r="D12" s="23">
        <f t="shared" si="1"/>
        <v>316963813</v>
      </c>
      <c r="E12" s="23">
        <f t="shared" si="1"/>
        <v>32027000</v>
      </c>
      <c r="F12" s="23">
        <f>SUM(F7:F11)</f>
        <v>4462875480</v>
      </c>
    </row>
  </sheetData>
  <mergeCells count="5">
    <mergeCell ref="A5:A6"/>
    <mergeCell ref="B5:B6"/>
    <mergeCell ref="C5:C6"/>
    <mergeCell ref="F5:F6"/>
    <mergeCell ref="D5:E5"/>
  </mergeCells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33C6-D1AA-4487-8641-FB871FB1ED2C}">
  <sheetPr>
    <tabColor rgb="FFFFCCFF"/>
    <pageSetUpPr fitToPage="1"/>
  </sheetPr>
  <dimension ref="A1:M20"/>
  <sheetViews>
    <sheetView view="pageBreakPreview" zoomScaleNormal="100" zoomScaleSheetLayoutView="100" workbookViewId="0"/>
  </sheetViews>
  <sheetFormatPr defaultColWidth="8.90625" defaultRowHeight="11"/>
  <cols>
    <col min="1" max="1" width="20.90625" style="39" customWidth="1"/>
    <col min="2" max="2" width="14.90625" style="39" customWidth="1"/>
    <col min="3" max="3" width="16.90625" style="39" customWidth="1"/>
    <col min="4" max="11" width="14.90625" style="39" customWidth="1"/>
    <col min="12" max="12" width="13.08984375" style="39" customWidth="1"/>
    <col min="13" max="13" width="8.90625" style="39" customWidth="1"/>
    <col min="14" max="16384" width="8.90625" style="39"/>
  </cols>
  <sheetData>
    <row r="1" spans="1:13" ht="21" customHeight="1">
      <c r="A1" s="38" t="s">
        <v>64</v>
      </c>
    </row>
    <row r="2" spans="1:13" ht="13" customHeight="1">
      <c r="A2" s="19" t="str">
        <f>〇投資及び出資金の明細!$A$2</f>
        <v>自治体名：清瀬市　一般会計等</v>
      </c>
    </row>
    <row r="3" spans="1:13" ht="13" customHeight="1">
      <c r="A3" s="19" t="str">
        <f>〇投資及び出資金の明細!$A$3</f>
        <v>年度：令和６年度</v>
      </c>
    </row>
    <row r="4" spans="1:13" ht="13" customHeight="1">
      <c r="K4" s="40" t="s">
        <v>265</v>
      </c>
    </row>
    <row r="5" spans="1:13" ht="22.5" customHeight="1">
      <c r="A5" s="121" t="s">
        <v>29</v>
      </c>
      <c r="B5" s="120" t="s">
        <v>63</v>
      </c>
      <c r="C5" s="53"/>
      <c r="D5" s="121" t="s">
        <v>62</v>
      </c>
      <c r="E5" s="122" t="s">
        <v>61</v>
      </c>
      <c r="F5" s="121" t="s">
        <v>60</v>
      </c>
      <c r="G5" s="122" t="s">
        <v>59</v>
      </c>
      <c r="H5" s="120" t="s">
        <v>58</v>
      </c>
      <c r="I5" s="54"/>
      <c r="J5" s="55"/>
      <c r="K5" s="121" t="s">
        <v>25</v>
      </c>
    </row>
    <row r="6" spans="1:13" ht="22.5" customHeight="1">
      <c r="A6" s="121"/>
      <c r="B6" s="121"/>
      <c r="C6" s="56" t="s">
        <v>57</v>
      </c>
      <c r="D6" s="121"/>
      <c r="E6" s="121"/>
      <c r="F6" s="121"/>
      <c r="G6" s="121"/>
      <c r="H6" s="121"/>
      <c r="I6" s="52" t="s">
        <v>56</v>
      </c>
      <c r="J6" s="52" t="s">
        <v>55</v>
      </c>
      <c r="K6" s="121"/>
      <c r="L6" s="39" t="s">
        <v>266</v>
      </c>
      <c r="M6" s="39" t="s">
        <v>275</v>
      </c>
    </row>
    <row r="7" spans="1:13" ht="18" customHeight="1">
      <c r="A7" s="42" t="s">
        <v>54</v>
      </c>
      <c r="B7" s="31"/>
      <c r="C7" s="44"/>
      <c r="D7" s="45"/>
      <c r="E7" s="43"/>
      <c r="F7" s="43"/>
      <c r="G7" s="43"/>
      <c r="H7" s="43"/>
      <c r="I7" s="43"/>
      <c r="J7" s="43"/>
      <c r="K7" s="43"/>
    </row>
    <row r="8" spans="1:13" ht="18" customHeight="1">
      <c r="A8" s="42" t="s">
        <v>53</v>
      </c>
      <c r="B8" s="29">
        <f>IF(SUM(D8:H8,K8)&gt;1,SUM(D8:H8,K8),"-")</f>
        <v>658349004.16452897</v>
      </c>
      <c r="C8" s="44">
        <f>IF(SUMIF(借入先別の明細作成BD!$D$7:$D$38,'〇附属明細書_地方債等（借入先別）の明細'!L8,借入先別の明細作成BD!$P$7:$P$38)=0,"-",SUMIF(借入先別の明細作成BD!$D$7:$D$38,'〇附属明細書_地方債等（借入先別）の明細'!L8,借入先別の明細作成BD!$P$7:$P$38))</f>
        <v>62994209</v>
      </c>
      <c r="D8" s="79">
        <f>IF(SUMIF(借入先別の明細作成BD!$D$7:$D$38,'〇附属明細書_地方債等（借入先別）の明細'!$L8,借入先別の明細作成BD!I$7:I$38)=0,"-",(SUMIF(借入先別の明細作成BD!$D$7:$D$38,'〇附属明細書_地方債等（借入先別）の明細'!$L8,借入先別の明細作成BD!I$7:I$38)*1000)+SUMIF(借入先別の明細作成BD!$D$7:$D$38,'〇附属明細書_地方債等（借入先別）の明細'!L8,借入先別の明細作成BD!$O$7:$O$38))</f>
        <v>502892004.16452897</v>
      </c>
      <c r="E8" s="104">
        <f>IF(SUMIF(借入先別の明細作成BD!$D$7:$D$38,'〇附属明細書_地方債等（借入先別）の明細'!$L8,借入先別の明細作成BD!J$7:J$38)=0,"-",SUMIF(借入先別の明細作成BD!$D$7:$D$38,'〇附属明細書_地方債等（借入先別）の明細'!$L8,借入先別の明細作成BD!J$7:J$38)*1000)</f>
        <v>80386000</v>
      </c>
      <c r="F8" s="43">
        <f>IF(SUMIF(借入先別の明細作成BD!$D$7:$D$38,'〇附属明細書_地方債等（借入先別）の明細'!$L8,借入先別の明細作成BD!K$7:K$38)=0,"-",SUMIF(借入先別の明細作成BD!$D$7:$D$38,'〇附属明細書_地方債等（借入先別）の明細'!$L8,借入先別の明細作成BD!K$7:K$38)*1000)</f>
        <v>17544000</v>
      </c>
      <c r="G8" s="43">
        <f>IF(SUMIF(借入先別の明細作成BD!$D$7:$D$38,'〇附属明細書_地方債等（借入先別）の明細'!$L8,借入先別の明細作成BD!L$7:L$38)=0,"-",SUMIF(借入先別の明細作成BD!$D$7:$D$38,'〇附属明細書_地方債等（借入先別）の明細'!$L8,借入先別の明細作成BD!L$7:L$38)*1000)</f>
        <v>6912000</v>
      </c>
      <c r="H8" s="43" t="str">
        <f>IF(SUMIF(借入先別の明細作成BD!$D$7:$D$38,'〇附属明細書_地方債等（借入先別）の明細'!$L8,借入先別の明細作成BD!M$7:M$38)=0,"-",SUMIF(借入先別の明細作成BD!$D$7:$D$38,'〇附属明細書_地方債等（借入先別）の明細'!$L8,借入先別の明細作成BD!M$7:M$38)*1000)</f>
        <v>-</v>
      </c>
      <c r="I8" s="43" t="s">
        <v>196</v>
      </c>
      <c r="J8" s="43" t="s">
        <v>196</v>
      </c>
      <c r="K8" s="43">
        <f>IF(SUMIF(借入先別の明細作成BD!$D$7:$D$38,'〇附属明細書_地方債等（借入先別）の明細'!$L8,借入先別の明細作成BD!N$7:N$38)=0,"-",SUMIF(借入先別の明細作成BD!$D$7:$D$38,'〇附属明細書_地方債等（借入先別）の明細'!$L8,借入先別の明細作成BD!N$7:N$38)*1000)</f>
        <v>50615000</v>
      </c>
      <c r="L8" s="39" t="s">
        <v>256</v>
      </c>
      <c r="M8" s="39">
        <f>SUM(B8)-SUM(D8:K8)</f>
        <v>0</v>
      </c>
    </row>
    <row r="9" spans="1:13" ht="18" customHeight="1">
      <c r="A9" s="42" t="s">
        <v>52</v>
      </c>
      <c r="B9" s="29" t="str">
        <f t="shared" ref="B9:B18" si="0">IF(SUM(D9:H9,K9)&gt;1,SUM(D9:H9,K9),"-")</f>
        <v>-</v>
      </c>
      <c r="C9" s="44" t="str">
        <f>IF(SUMIF(借入先別の明細作成BD!$D$7:$D$38,'〇附属明細書_地方債等（借入先別）の明細'!L9,借入先別の明細作成BD!$P$7:$P$38)=0,"-",SUMIF(借入先別の明細作成BD!$D$7:$D$38,'〇附属明細書_地方債等（借入先別）の明細'!L9,借入先別の明細作成BD!$P$7:$P$38))</f>
        <v>-</v>
      </c>
      <c r="D9" s="79" t="str">
        <f>IF(SUMIF(借入先別の明細作成BD!$D$7:$D$38,'〇附属明細書_地方債等（借入先別）の明細'!$L9,借入先別の明細作成BD!I$7:I$38)=0,"-",(SUMIF(借入先別の明細作成BD!$D$7:$D$38,'〇附属明細書_地方債等（借入先別）の明細'!$L9,借入先別の明細作成BD!I$7:I$38)*1000)+SUMIF(借入先別の明細作成BD!$D$7:$D$38,'〇附属明細書_地方債等（借入先別）の明細'!L9,借入先別の明細作成BD!$O$7:$O$38))</f>
        <v>-</v>
      </c>
      <c r="E9" s="43" t="str">
        <f>IF(SUMIF(借入先別の明細作成BD!$D$7:$D$38,'〇附属明細書_地方債等（借入先別）の明細'!$L9,借入先別の明細作成BD!J$7:J$38)=0,"-",SUMIF(借入先別の明細作成BD!$D$7:$D$38,'〇附属明細書_地方債等（借入先別）の明細'!$L9,借入先別の明細作成BD!J$7:J$38)*1000)</f>
        <v>-</v>
      </c>
      <c r="F9" s="43" t="str">
        <f>IF(SUMIF(借入先別の明細作成BD!$D$7:$D$38,'〇附属明細書_地方債等（借入先別）の明細'!$L9,借入先別の明細作成BD!K$7:K$38)=0,"-",SUMIF(借入先別の明細作成BD!$D$7:$D$38,'〇附属明細書_地方債等（借入先別）の明細'!$L9,借入先別の明細作成BD!K$7:K$38)*1000)</f>
        <v>-</v>
      </c>
      <c r="G9" s="43" t="str">
        <f>IF(SUMIF(借入先別の明細作成BD!$D$7:$D$38,'〇附属明細書_地方債等（借入先別）の明細'!$L9,借入先別の明細作成BD!L$7:L$38)=0,"-",SUMIF(借入先別の明細作成BD!$D$7:$D$38,'〇附属明細書_地方債等（借入先別）の明細'!$L9,借入先別の明細作成BD!L$7:L$38)*1000)</f>
        <v>-</v>
      </c>
      <c r="H9" s="43" t="str">
        <f>IF(SUMIF(借入先別の明細作成BD!$D$7:$D$38,'〇附属明細書_地方債等（借入先別）の明細'!$L9,借入先別の明細作成BD!M$7:M$38)=0,"-",SUMIF(借入先別の明細作成BD!$D$7:$D$38,'〇附属明細書_地方債等（借入先別）の明細'!$L9,借入先別の明細作成BD!M$7:M$38)*1000)</f>
        <v>-</v>
      </c>
      <c r="I9" s="43" t="s">
        <v>196</v>
      </c>
      <c r="J9" s="43" t="s">
        <v>196</v>
      </c>
      <c r="K9" s="43" t="str">
        <f>IF(SUMIF(借入先別の明細作成BD!$D$7:$D$38,'〇附属明細書_地方債等（借入先別）の明細'!$L9,借入先別の明細作成BD!N$7:N$38)=0,"-",SUMIF(借入先別の明細作成BD!$D$7:$D$38,'〇附属明細書_地方債等（借入先別）の明細'!$L9,借入先別の明細作成BD!N$7:N$38)*1000)</f>
        <v>-</v>
      </c>
      <c r="L9" s="39" t="s">
        <v>257</v>
      </c>
      <c r="M9" s="39">
        <f t="shared" ref="M9:M18" si="1">SUM(B9)-SUM(D9:K9)</f>
        <v>0</v>
      </c>
    </row>
    <row r="10" spans="1:13" ht="18" customHeight="1">
      <c r="A10" s="42" t="s">
        <v>51</v>
      </c>
      <c r="B10" s="29" t="str">
        <f t="shared" si="0"/>
        <v>-</v>
      </c>
      <c r="C10" s="44" t="str">
        <f>IF(SUMIF(借入先別の明細作成BD!$D$7:$D$38,'〇附属明細書_地方債等（借入先別）の明細'!L10,借入先別の明細作成BD!$P$7:$P$38)=0,"-",SUMIF(借入先別の明細作成BD!$D$7:$D$38,'〇附属明細書_地方債等（借入先別）の明細'!L10,借入先別の明細作成BD!$P$7:$P$38))</f>
        <v>-</v>
      </c>
      <c r="D10" s="79" t="str">
        <f>IF(SUMIF(借入先別の明細作成BD!$D$7:$D$38,'〇附属明細書_地方債等（借入先別）の明細'!$L10,借入先別の明細作成BD!I$7:I$38)=0,"-",(SUMIF(借入先別の明細作成BD!$D$7:$D$38,'〇附属明細書_地方債等（借入先別）の明細'!$L10,借入先別の明細作成BD!I$7:I$38)*1000)+SUMIF(借入先別の明細作成BD!$D$7:$D$38,'〇附属明細書_地方債等（借入先別）の明細'!L10,借入先別の明細作成BD!$O$7:$O$38))</f>
        <v>-</v>
      </c>
      <c r="E10" s="43" t="str">
        <f>IF(SUMIF(借入先別の明細作成BD!$D$7:$D$38,'〇附属明細書_地方債等（借入先別）の明細'!$L10,借入先別の明細作成BD!J$7:J$38)=0,"-",SUMIF(借入先別の明細作成BD!$D$7:$D$38,'〇附属明細書_地方債等（借入先別）の明細'!$L10,借入先別の明細作成BD!J$7:J$38)*1000)</f>
        <v>-</v>
      </c>
      <c r="F10" s="43" t="str">
        <f>IF(SUMIF(借入先別の明細作成BD!$D$7:$D$38,'〇附属明細書_地方債等（借入先別）の明細'!$L10,借入先別の明細作成BD!K$7:K$38)=0,"-",SUMIF(借入先別の明細作成BD!$D$7:$D$38,'〇附属明細書_地方債等（借入先別）の明細'!$L10,借入先別の明細作成BD!K$7:K$38)*1000)</f>
        <v>-</v>
      </c>
      <c r="G10" s="43" t="str">
        <f>IF(SUMIF(借入先別の明細作成BD!$D$7:$D$38,'〇附属明細書_地方債等（借入先別）の明細'!$L10,借入先別の明細作成BD!L$7:L$38)=0,"-",SUMIF(借入先別の明細作成BD!$D$7:$D$38,'〇附属明細書_地方債等（借入先別）の明細'!$L10,借入先別の明細作成BD!L$7:L$38)*1000)</f>
        <v>-</v>
      </c>
      <c r="H10" s="43" t="str">
        <f>IF(SUMIF(借入先別の明細作成BD!$D$7:$D$38,'〇附属明細書_地方債等（借入先別）の明細'!$L10,借入先別の明細作成BD!M$7:M$38)=0,"-",SUMIF(借入先別の明細作成BD!$D$7:$D$38,'〇附属明細書_地方債等（借入先別）の明細'!$L10,借入先別の明細作成BD!M$7:M$38)*1000)</f>
        <v>-</v>
      </c>
      <c r="I10" s="43" t="s">
        <v>196</v>
      </c>
      <c r="J10" s="43" t="s">
        <v>196</v>
      </c>
      <c r="K10" s="43" t="str">
        <f>IF(SUMIF(借入先別の明細作成BD!$D$7:$D$38,'〇附属明細書_地方債等（借入先別）の明細'!$L10,借入先別の明細作成BD!N$7:N$38)=0,"-",SUMIF(借入先別の明細作成BD!$D$7:$D$38,'〇附属明細書_地方債等（借入先別）の明細'!$L10,借入先別の明細作成BD!N$7:N$38)*1000)</f>
        <v>-</v>
      </c>
      <c r="L10" s="39" t="s">
        <v>258</v>
      </c>
      <c r="M10" s="39">
        <f t="shared" si="1"/>
        <v>0</v>
      </c>
    </row>
    <row r="11" spans="1:13" ht="18" customHeight="1">
      <c r="A11" s="42" t="s">
        <v>50</v>
      </c>
      <c r="B11" s="29">
        <f t="shared" si="0"/>
        <v>1634048018.7930744</v>
      </c>
      <c r="C11" s="44">
        <f>IF(SUMIF(借入先別の明細作成BD!$D$7:$D$38,'〇附属明細書_地方債等（借入先別）の明細'!L11,借入先別の明細作成BD!$P$7:$P$38)=0,"-",SUMIF(借入先別の明細作成BD!$D$7:$D$38,'〇附属明細書_地方債等（借入先別）の明細'!L11,借入先別の明細作成BD!$P$7:$P$38))</f>
        <v>156354332</v>
      </c>
      <c r="D11" s="79">
        <f>IF(SUMIF(借入先別の明細作成BD!$D$7:$D$38,'〇附属明細書_地方債等（借入先別）の明細'!$L11,借入先別の明細作成BD!I$7:I$38)=0,"-",(SUMIF(借入先別の明細作成BD!$D$7:$D$38,'〇附属明細書_地方債等（借入先別）の明細'!$L11,借入先別の明細作成BD!I$7:I$38)*1000)+SUMIF(借入先別の明細作成BD!$D$7:$D$38,'〇附属明細書_地方債等（借入先別）の明細'!L11,借入先別の明細作成BD!$O$7:$O$38))</f>
        <v>932529018.79307437</v>
      </c>
      <c r="E11" s="43">
        <f>IF(SUMIF(借入先別の明細作成BD!$D$7:$D$38,'〇附属明細書_地方債等（借入先別）の明細'!$L11,借入先別の明細作成BD!J$7:J$38)=0,"-",SUMIF(借入先別の明細作成BD!$D$7:$D$38,'〇附属明細書_地方債等（借入先別）の明細'!$L11,借入先別の明細作成BD!J$7:J$38)*1000)</f>
        <v>362752000</v>
      </c>
      <c r="F11" s="43">
        <f>IF(SUMIF(借入先別の明細作成BD!$D$7:$D$38,'〇附属明細書_地方債等（借入先別）の明細'!$L11,借入先別の明細作成BD!K$7:K$38)=0,"-",SUMIF(借入先別の明細作成BD!$D$7:$D$38,'〇附属明細書_地方債等（借入先別）の明細'!$L11,借入先別の明細作成BD!K$7:K$38)*1000)</f>
        <v>79169000</v>
      </c>
      <c r="G11" s="43">
        <f>IF(SUMIF(借入先別の明細作成BD!$D$7:$D$38,'〇附属明細書_地方債等（借入先別）の明細'!$L11,借入先別の明細作成BD!L$7:L$38)=0,"-",SUMIF(借入先別の明細作成BD!$D$7:$D$38,'〇附属明細書_地方債等（借入先別）の明細'!$L11,借入先別の明細作成BD!L$7:L$38)*1000)</f>
        <v>31190000</v>
      </c>
      <c r="H11" s="43" t="str">
        <f>IF(SUMIF(借入先別の明細作成BD!$D$7:$D$38,'〇附属明細書_地方債等（借入先別）の明細'!$L11,借入先別の明細作成BD!M$7:M$38)=0,"-",SUMIF(借入先別の明細作成BD!$D$7:$D$38,'〇附属明細書_地方債等（借入先別）の明細'!$L11,借入先別の明細作成BD!M$7:M$38)*1000)</f>
        <v>-</v>
      </c>
      <c r="I11" s="43" t="s">
        <v>196</v>
      </c>
      <c r="J11" s="43" t="s">
        <v>196</v>
      </c>
      <c r="K11" s="43">
        <f>IF(SUMIF(借入先別の明細作成BD!$D$7:$D$38,'〇附属明細書_地方債等（借入先別）の明細'!$L11,借入先別の明細作成BD!N$7:N$38)=0,"-",SUMIF(借入先別の明細作成BD!$D$7:$D$38,'〇附属明細書_地方債等（借入先別）の明細'!$L11,借入先別の明細作成BD!N$7:N$38)*1000)</f>
        <v>228408000</v>
      </c>
      <c r="L11" s="39" t="s">
        <v>259</v>
      </c>
      <c r="M11" s="39">
        <f t="shared" si="1"/>
        <v>0</v>
      </c>
    </row>
    <row r="12" spans="1:13" ht="18" customHeight="1">
      <c r="A12" s="42" t="s">
        <v>49</v>
      </c>
      <c r="B12" s="29">
        <f t="shared" si="0"/>
        <v>6177668163.1636162</v>
      </c>
      <c r="C12" s="44">
        <f>IF(SUMIF(借入先別の明細作成BD!$D$7:$D$38,'〇附属明細書_地方債等（借入先別）の明細'!L12,借入先別の明細作成BD!$P$7:$P$38)=0,"-",SUMIF(借入先別の明細作成BD!$D$7:$D$38,'〇附属明細書_地方債等（借入先別）の明細'!L12,借入先別の明細作成BD!$P$7:$P$38))</f>
        <v>591111862</v>
      </c>
      <c r="D12" s="79">
        <f>IF(SUMIF(借入先別の明細作成BD!$D$7:$D$38,'〇附属明細書_地方債等（借入先別）の明細'!$L12,借入先別の明細作成BD!I$7:I$38)=0,"-",(SUMIF(借入先別の明細作成BD!$D$7:$D$38,'〇附属明細書_地方債等（借入先別）の明細'!$L12,借入先別の明細作成BD!I$7:I$38)*1000)+SUMIF(借入先別の明細作成BD!$D$7:$D$38,'〇附属明細書_地方債等（借入先別）の明細'!L12,借入先別の明細作成BD!$O$7:$O$38))</f>
        <v>87000163.163616419</v>
      </c>
      <c r="E12" s="43">
        <f>IF(SUMIF(借入先別の明細作成BD!$D$7:$D$38,'〇附属明細書_地方債等（借入先別）の明細'!$L12,借入先別の明細作成BD!J$7:J$38)=0,"-",SUMIF(借入先別の明細作成BD!$D$7:$D$38,'〇附属明細書_地方債等（借入先別）の明細'!$L12,借入先別の明細作成BD!J$7:J$38)*1000)</f>
        <v>3149453000</v>
      </c>
      <c r="F12" s="43">
        <f>IF(SUMIF(借入先別の明細作成BD!$D$7:$D$38,'〇附属明細書_地方債等（借入先別）の明細'!$L12,借入先別の明細作成BD!K$7:K$38)=0,"-",SUMIF(借入先別の明細作成BD!$D$7:$D$38,'〇附属明細書_地方債等（借入先別）の明細'!$L12,借入先別の明細作成BD!K$7:K$38)*1000)</f>
        <v>687354000</v>
      </c>
      <c r="G12" s="43">
        <f>IF(SUMIF(借入先別の明細作成BD!$D$7:$D$38,'〇附属明細書_地方債等（借入先別）の明細'!$L12,借入先別の明細作成BD!L$7:L$38)=0,"-",SUMIF(借入先別の明細作成BD!$D$7:$D$38,'〇附属明細書_地方債等（借入先別）の明細'!$L12,借入先別の明細作成BD!L$7:L$38)*1000)</f>
        <v>270798000</v>
      </c>
      <c r="H12" s="43" t="str">
        <f>IF(SUMIF(借入先別の明細作成BD!$D$7:$D$38,'〇附属明細書_地方債等（借入先別）の明細'!$L12,借入先別の明細作成BD!M$7:M$38)=0,"-",SUMIF(借入先別の明細作成BD!$D$7:$D$38,'〇附属明細書_地方債等（借入先別）の明細'!$L12,借入先別の明細作成BD!M$7:M$38)*1000)</f>
        <v>-</v>
      </c>
      <c r="I12" s="43" t="s">
        <v>196</v>
      </c>
      <c r="J12" s="43" t="s">
        <v>196</v>
      </c>
      <c r="K12" s="43">
        <f>IF(SUMIF(借入先別の明細作成BD!$D$7:$D$38,'〇附属明細書_地方債等（借入先別）の明細'!$L12,借入先別の明細作成BD!N$7:N$38)=0,"-",SUMIF(借入先別の明細作成BD!$D$7:$D$38,'〇附属明細書_地方債等（借入先別）の明細'!$L12,借入先別の明細作成BD!N$7:N$38)*1000)</f>
        <v>1983063000</v>
      </c>
      <c r="L12" s="39" t="s">
        <v>260</v>
      </c>
      <c r="M12" s="39">
        <f t="shared" si="1"/>
        <v>0</v>
      </c>
    </row>
    <row r="13" spans="1:13" ht="18" customHeight="1">
      <c r="A13" s="42" t="s">
        <v>44</v>
      </c>
      <c r="B13" s="29">
        <f t="shared" si="0"/>
        <v>1507000</v>
      </c>
      <c r="C13" s="44">
        <f>IF(SUMIF(借入先別の明細作成BD!$D$7:$D$38,'〇附属明細書_地方債等（借入先別）の明細'!L13,借入先別の明細作成BD!$P$7:$P$38)=0,"-",SUMIF(借入先別の明細作成BD!$D$7:$D$38,'〇附属明細書_地方債等（借入先別）の明細'!L13,借入先別の明細作成BD!$P$7:$P$38))</f>
        <v>144198</v>
      </c>
      <c r="D13" s="79">
        <f>IF(SUMIF(借入先別の明細作成BD!$D$7:$D$38,'〇附属明細書_地方債等（借入先別）の明細'!$L13,借入先別の明細作成BD!I$7:I$38)=0,"-",(SUMIF(借入先別の明細作成BD!$D$7:$D$38,'〇附属明細書_地方債等（借入先別）の明細'!$L13,借入先別の明細作成BD!I$7:I$38)*1000)+SUMIF(借入先別の明細作成BD!$D$7:$D$38,'〇附属明細書_地方債等（借入先別）の明細'!L13,借入先別の明細作成BD!$O$7:$O$38))</f>
        <v>1507000</v>
      </c>
      <c r="E13" s="43" t="str">
        <f>IF(SUMIF(借入先別の明細作成BD!$D$7:$D$38,'〇附属明細書_地方債等（借入先別）の明細'!$L13,借入先別の明細作成BD!J$7:J$38)=0,"-",SUMIF(借入先別の明細作成BD!$D$7:$D$38,'〇附属明細書_地方債等（借入先別）の明細'!$L13,借入先別の明細作成BD!J$7:J$38)*1000)</f>
        <v>-</v>
      </c>
      <c r="F13" s="43" t="str">
        <f>IF(SUMIF(借入先別の明細作成BD!$D$7:$D$38,'〇附属明細書_地方債等（借入先別）の明細'!$L13,借入先別の明細作成BD!K$7:K$38)=0,"-",SUMIF(借入先別の明細作成BD!$D$7:$D$38,'〇附属明細書_地方債等（借入先別）の明細'!$L13,借入先別の明細作成BD!K$7:K$38)*1000)</f>
        <v>-</v>
      </c>
      <c r="G13" s="43" t="str">
        <f>IF(SUMIF(借入先別の明細作成BD!$D$7:$D$38,'〇附属明細書_地方債等（借入先別）の明細'!$L13,借入先別の明細作成BD!L$7:L$38)=0,"-",SUMIF(借入先別の明細作成BD!$D$7:$D$38,'〇附属明細書_地方債等（借入先別）の明細'!$L13,借入先別の明細作成BD!L$7:L$38)*1000)</f>
        <v>-</v>
      </c>
      <c r="H13" s="43" t="str">
        <f>IF(SUMIF(借入先別の明細作成BD!$D$7:$D$38,'〇附属明細書_地方債等（借入先別）の明細'!$L13,借入先別の明細作成BD!M$7:M$38)=0,"-",SUMIF(借入先別の明細作成BD!$D$7:$D$38,'〇附属明細書_地方債等（借入先別）の明細'!$L13,借入先別の明細作成BD!M$7:M$38)*1000)</f>
        <v>-</v>
      </c>
      <c r="I13" s="43" t="s">
        <v>196</v>
      </c>
      <c r="J13" s="43" t="s">
        <v>196</v>
      </c>
      <c r="K13" s="43" t="str">
        <f>IF(SUMIF(借入先別の明細作成BD!$D$7:$D$38,'〇附属明細書_地方債等（借入先別）の明細'!$L13,借入先別の明細作成BD!N$7:N$38)=0,"-",SUMIF(借入先別の明細作成BD!$D$7:$D$38,'〇附属明細書_地方債等（借入先別）の明細'!$L13,借入先別の明細作成BD!N$7:N$38)*1000)</f>
        <v>-</v>
      </c>
      <c r="L13" s="39" t="s">
        <v>261</v>
      </c>
      <c r="M13" s="39">
        <f t="shared" si="1"/>
        <v>0</v>
      </c>
    </row>
    <row r="14" spans="1:13" ht="18" customHeight="1">
      <c r="A14" s="42" t="s">
        <v>48</v>
      </c>
      <c r="B14" s="31"/>
      <c r="C14" s="44" t="str">
        <f>IF(SUMIF(借入先別の明細作成BD!$D$7:$D$38,'〇附属明細書_地方債等（借入先別）の明細'!L14,借入先別の明細作成BD!$P$7:$P$38)=0,"-",SUMIF(借入先別の明細作成BD!$D$7:$D$38,'〇附属明細書_地方債等（借入先別）の明細'!L14,借入先別の明細作成BD!$P$7:$P$38))</f>
        <v>-</v>
      </c>
      <c r="D14" s="45" t="str">
        <f>IF(SUMIF(借入先別の明細作成BD!$D$7:$D$38,'〇附属明細書_地方債等（借入先別）の明細'!$L14,借入先別の明細作成BD!I$7:I$38)=0,"-",(SUMIF(借入先別の明細作成BD!$D$7:$D$38,'〇附属明細書_地方債等（借入先別）の明細'!$L14,借入先別の明細作成BD!I$7:I$38)*1000)+SUMIF(借入先別の明細作成BD!$D$7:$D$38,'〇附属明細書_地方債等（借入先別）の明細'!L14,借入先別の明細作成BD!$O$7:$O$38))</f>
        <v>-</v>
      </c>
      <c r="E14" s="43"/>
      <c r="F14" s="43"/>
      <c r="G14" s="43"/>
      <c r="H14" s="43"/>
      <c r="I14" s="43"/>
      <c r="J14" s="43"/>
      <c r="K14" s="43" t="str">
        <f>IF(SUMIF(借入先別の明細作成BD!$D$7:$D$38,'〇附属明細書_地方債等（借入先別）の明細'!$L14,借入先別の明細作成BD!N$7:N$38)=0,"-",SUMIF(借入先別の明細作成BD!$D$7:$D$38,'〇附属明細書_地方債等（借入先別）の明細'!$L14,借入先別の明細作成BD!N$7:N$38)*1000)</f>
        <v>-</v>
      </c>
      <c r="M14" s="39">
        <f t="shared" si="1"/>
        <v>0</v>
      </c>
    </row>
    <row r="15" spans="1:13" ht="18" customHeight="1">
      <c r="A15" s="42" t="s">
        <v>47</v>
      </c>
      <c r="B15" s="29">
        <f t="shared" si="0"/>
        <v>9869910120.0186996</v>
      </c>
      <c r="C15" s="44">
        <f>IF(SUMIF(借入先別の明細作成BD!$D$7:$D$38,'〇附属明細書_地方債等（借入先別）の明細'!L15,借入先別の明細作成BD!$P$7:$P$38)=0,"-",SUMIF(借入先別の明細作成BD!$D$7:$D$38,'〇附属明細書_地方債等（借入先別）の明細'!L15,借入先別の明細作成BD!$P$7:$P$38))</f>
        <v>944405053</v>
      </c>
      <c r="D15" s="79">
        <f>IF(SUMIF(借入先別の明細作成BD!$D$7:$D$38,'〇附属明細書_地方債等（借入先別）の明細'!$L15,借入先別の明細作成BD!I$7:I$38)=0,"-",(SUMIF(借入先別の明細作成BD!$D$7:$D$38,'〇附属明細書_地方債等（借入先別）の明細'!$L15,借入先別の明細作成BD!I$7:I$38)*1000)+SUMIF(借入先別の明細作成BD!$D$7:$D$38,'〇附属明細書_地方債等（借入先別）の明細'!L15,借入先別の明細作成BD!$O$7:$O$38))</f>
        <v>5389781120.0186987</v>
      </c>
      <c r="E15" s="43">
        <f>IF(SUMIF(借入先別の明細作成BD!$D$7:$D$38,'〇附属明細書_地方債等（借入先別）の明細'!$L15,借入先別の明細作成BD!J$7:J$38)=0,"-",SUMIF(借入先別の明細作成BD!$D$7:$D$38,'〇附属明細書_地方債等（借入先別）の明細'!$L15,借入先別の明細作成BD!J$7:J$38)*1000)</f>
        <v>2316652000</v>
      </c>
      <c r="F15" s="43">
        <f>IF(SUMIF(借入先別の明細作成BD!$D$7:$D$38,'〇附属明細書_地方債等（借入先別）の明細'!$L15,借入先別の明細作成BD!K$7:K$38)=0,"-",SUMIF(借入先別の明細作成BD!$D$7:$D$38,'〇附属明細書_地方債等（借入先別）の明細'!$L15,借入先別の明細作成BD!K$7:K$38)*1000)</f>
        <v>505599000</v>
      </c>
      <c r="G15" s="43">
        <f>IF(SUMIF(借入先別の明細作成BD!$D$7:$D$38,'〇附属明細書_地方債等（借入先別）の明細'!$L15,借入先別の明細作成BD!L$7:L$38)=0,"-",SUMIF(借入先別の明細作成BD!$D$7:$D$38,'〇附属明細書_地方債等（借入先別）の明細'!$L15,借入先別の明細作成BD!L$7:L$38)*1000)</f>
        <v>199191000</v>
      </c>
      <c r="H15" s="43" t="str">
        <f>IF(SUMIF(借入先別の明細作成BD!$D$7:$D$38,'〇附属明細書_地方債等（借入先別）の明細'!$L15,借入先別の明細作成BD!M$7:M$38)=0,"-",SUMIF(借入先別の明細作成BD!$D$7:$D$38,'〇附属明細書_地方債等（借入先別）の明細'!$L15,借入先別の明細作成BD!M$7:M$38)*1000)</f>
        <v>-</v>
      </c>
      <c r="I15" s="43" t="s">
        <v>196</v>
      </c>
      <c r="J15" s="43" t="s">
        <v>196</v>
      </c>
      <c r="K15" s="43">
        <f>IF(SUMIF(借入先別の明細作成BD!$D$7:$D$38,'〇附属明細書_地方債等（借入先別）の明細'!$L15,借入先別の明細作成BD!N$7:N$38)=0,"-",SUMIF(借入先別の明細作成BD!$D$7:$D$38,'〇附属明細書_地方債等（借入先別）の明細'!$L15,借入先別の明細作成BD!N$7:N$38)*1000)</f>
        <v>1458687000</v>
      </c>
      <c r="L15" s="39" t="s">
        <v>248</v>
      </c>
      <c r="M15" s="39">
        <f t="shared" si="1"/>
        <v>0</v>
      </c>
    </row>
    <row r="16" spans="1:13" ht="18" customHeight="1">
      <c r="A16" s="42" t="s">
        <v>46</v>
      </c>
      <c r="B16" s="29">
        <f t="shared" si="0"/>
        <v>19063000</v>
      </c>
      <c r="C16" s="44">
        <f>IF(SUMIF(借入先別の明細作成BD!$D$7:$D$38,'〇附属明細書_地方債等（借入先別）の明細'!L16,借入先別の明細作成BD!$P$7:$P$38)=0,"-",SUMIF(借入先別の明細作成BD!$D$7:$D$38,'〇附属明細書_地方債等（借入先別）の明細'!L16,借入先別の明細作成BD!$P$7:$P$38))</f>
        <v>1824048</v>
      </c>
      <c r="D16" s="79">
        <f>IF(SUMIF(借入先別の明細作成BD!$D$7:$D$38,'〇附属明細書_地方債等（借入先別）の明細'!$L16,借入先別の明細作成BD!I$7:I$38)=0,"-",(SUMIF(借入先別の明細作成BD!$D$7:$D$38,'〇附属明細書_地方債等（借入先別）の明細'!$L16,借入先別の明細作成BD!I$7:I$38)*1000)+SUMIF(借入先別の明細作成BD!$D$7:$D$38,'〇附属明細書_地方債等（借入先別）の明細'!L16,借入先別の明細作成BD!$O$7:$O$38))</f>
        <v>19063000</v>
      </c>
      <c r="E16" s="43" t="str">
        <f>IF(SUMIF(借入先別の明細作成BD!$D$7:$D$38,'〇附属明細書_地方債等（借入先別）の明細'!$L16,借入先別の明細作成BD!J$7:J$38)=0,"-",SUMIF(借入先別の明細作成BD!$D$7:$D$38,'〇附属明細書_地方債等（借入先別）の明細'!$L16,借入先別の明細作成BD!J$7:J$38)*1000)</f>
        <v>-</v>
      </c>
      <c r="F16" s="43" t="str">
        <f>IF(SUMIF(借入先別の明細作成BD!$D$7:$D$38,'〇附属明細書_地方債等（借入先別）の明細'!$L16,借入先別の明細作成BD!K$7:K$38)=0,"-",SUMIF(借入先別の明細作成BD!$D$7:$D$38,'〇附属明細書_地方債等（借入先別）の明細'!$L16,借入先別の明細作成BD!K$7:K$38)*1000)</f>
        <v>-</v>
      </c>
      <c r="G16" s="43" t="str">
        <f>IF(SUMIF(借入先別の明細作成BD!$D$7:$D$38,'〇附属明細書_地方債等（借入先別）の明細'!$L16,借入先別の明細作成BD!L$7:L$38)=0,"-",SUMIF(借入先別の明細作成BD!$D$7:$D$38,'〇附属明細書_地方債等（借入先別）の明細'!$L16,借入先別の明細作成BD!L$7:L$38)*1000)</f>
        <v>-</v>
      </c>
      <c r="H16" s="43" t="str">
        <f>IF(SUMIF(借入先別の明細作成BD!$D$7:$D$38,'〇附属明細書_地方債等（借入先別）の明細'!$L16,借入先別の明細作成BD!M$7:M$38)=0,"-",SUMIF(借入先別の明細作成BD!$D$7:$D$38,'〇附属明細書_地方債等（借入先別）の明細'!$L16,借入先別の明細作成BD!M$7:M$38)*1000)</f>
        <v>-</v>
      </c>
      <c r="I16" s="43" t="s">
        <v>196</v>
      </c>
      <c r="J16" s="43" t="s">
        <v>196</v>
      </c>
      <c r="K16" s="43" t="str">
        <f>IF(SUMIF(借入先別の明細作成BD!$D$7:$D$38,'〇附属明細書_地方債等（借入先別）の明細'!$L16,借入先別の明細作成BD!N$7:N$38)=0,"-",SUMIF(借入先別の明細作成BD!$D$7:$D$38,'〇附属明細書_地方債等（借入先別）の明細'!$L16,借入先別の明細作成BD!N$7:N$38)*1000)</f>
        <v>-</v>
      </c>
      <c r="L16" s="39" t="s">
        <v>262</v>
      </c>
      <c r="M16" s="39">
        <f t="shared" si="1"/>
        <v>0</v>
      </c>
    </row>
    <row r="17" spans="1:13" ht="18" customHeight="1">
      <c r="A17" s="42" t="s">
        <v>45</v>
      </c>
      <c r="B17" s="29" t="str">
        <f t="shared" si="0"/>
        <v>-</v>
      </c>
      <c r="C17" s="44" t="str">
        <f>IF(SUMIF(借入先別の明細作成BD!$D$7:$D$38,'〇附属明細書_地方債等（借入先別）の明細'!L17,借入先別の明細作成BD!$P$7:$P$38)=0,"-",SUMIF(借入先別の明細作成BD!$D$7:$D$38,'〇附属明細書_地方債等（借入先別）の明細'!L17,借入先別の明細作成BD!$P$7:$P$38))</f>
        <v>-</v>
      </c>
      <c r="D17" s="79" t="str">
        <f>IF(SUMIF(借入先別の明細作成BD!$D$7:$D$38,'〇附属明細書_地方債等（借入先別）の明細'!$L17,借入先別の明細作成BD!I$7:I$38)=0,"-",(SUMIF(借入先別の明細作成BD!$D$7:$D$38,'〇附属明細書_地方債等（借入先別）の明細'!$L17,借入先別の明細作成BD!I$7:I$38)*1000)+SUMIF(借入先別の明細作成BD!$D$7:$D$38,'〇附属明細書_地方債等（借入先別）の明細'!L17,借入先別の明細作成BD!$O$7:$O$38))</f>
        <v>-</v>
      </c>
      <c r="E17" s="43" t="str">
        <f>IF(SUMIF(借入先別の明細作成BD!$D$7:$D$38,'〇附属明細書_地方債等（借入先別）の明細'!$L17,借入先別の明細作成BD!J$7:J$38)=0,"-",SUMIF(借入先別の明細作成BD!$D$7:$D$38,'〇附属明細書_地方債等（借入先別）の明細'!$L17,借入先別の明細作成BD!J$7:J$38)*1000)</f>
        <v>-</v>
      </c>
      <c r="F17" s="43" t="str">
        <f>IF(SUMIF(借入先別の明細作成BD!$D$7:$D$38,'〇附属明細書_地方債等（借入先別）の明細'!$L17,借入先別の明細作成BD!K$7:K$38)=0,"-",SUMIF(借入先別の明細作成BD!$D$7:$D$38,'〇附属明細書_地方債等（借入先別）の明細'!$L17,借入先別の明細作成BD!K$7:K$38)*1000)</f>
        <v>-</v>
      </c>
      <c r="G17" s="43" t="str">
        <f>IF(SUMIF(借入先別の明細作成BD!$D$7:$D$38,'〇附属明細書_地方債等（借入先別）の明細'!$L17,借入先別の明細作成BD!L$7:L$38)=0,"-",SUMIF(借入先別の明細作成BD!$D$7:$D$38,'〇附属明細書_地方債等（借入先別）の明細'!$L17,借入先別の明細作成BD!L$7:L$38)*1000)</f>
        <v>-</v>
      </c>
      <c r="H17" s="43" t="str">
        <f>IF(SUMIF(借入先別の明細作成BD!$D$7:$D$38,'〇附属明細書_地方債等（借入先別）の明細'!$L17,借入先別の明細作成BD!M$7:M$38)=0,"-",SUMIF(借入先別の明細作成BD!$D$7:$D$38,'〇附属明細書_地方債等（借入先別）の明細'!$L17,借入先別の明細作成BD!M$7:M$38)*1000)</f>
        <v>-</v>
      </c>
      <c r="I17" s="43" t="s">
        <v>196</v>
      </c>
      <c r="J17" s="43" t="s">
        <v>196</v>
      </c>
      <c r="K17" s="43" t="str">
        <f>IF(SUMIF(借入先別の明細作成BD!$D$7:$D$38,'〇附属明細書_地方債等（借入先別）の明細'!$L17,借入先別の明細作成BD!N$7:N$38)=0,"-",SUMIF(借入先別の明細作成BD!$D$7:$D$38,'〇附属明細書_地方債等（借入先別）の明細'!$L17,借入先別の明細作成BD!N$7:N$38)*1000)</f>
        <v>-</v>
      </c>
      <c r="L17" s="39" t="s">
        <v>263</v>
      </c>
      <c r="M17" s="39">
        <f t="shared" si="1"/>
        <v>0</v>
      </c>
    </row>
    <row r="18" spans="1:13" ht="18" customHeight="1">
      <c r="A18" s="42" t="s">
        <v>44</v>
      </c>
      <c r="B18" s="29">
        <f t="shared" si="0"/>
        <v>1043029026.8600812</v>
      </c>
      <c r="C18" s="44">
        <f>IF(SUMIF(借入先別の明細作成BD!$D$7:$D$38,'〇附属明細書_地方債等（借入先別）の明細'!L18,借入先別の明細作成BD!$P$7:$P$38)=0,"-",SUMIF(借入先別の明細作成BD!$D$7:$D$38,'〇附属明細書_地方債等（借入先別）の明細'!L18,借入先別の明細作成BD!$P$7:$P$38))</f>
        <v>99802613</v>
      </c>
      <c r="D18" s="79">
        <f>IF(SUMIF(借入先別の明細作成BD!$D$7:$D$38,'〇附属明細書_地方債等（借入先別）の明細'!$L18,借入先別の明細作成BD!I$7:I$38)=0,"-",(SUMIF(借入先別の明細作成BD!$D$7:$D$38,'〇附属明細書_地方債等（借入先別）の明細'!$L18,借入先別の明細作成BD!I$7:I$38)*1000)+SUMIF(借入先別の明細作成BD!$D$7:$D$38,'〇附属明細書_地方債等（借入先別）の明細'!L18,借入先別の明細作成BD!$O$7:$O$38))</f>
        <v>40381026.860081166</v>
      </c>
      <c r="E18" s="43">
        <f>IF(SUMIF(借入先別の明細作成BD!$D$7:$D$38,'〇附属明細書_地方債等（借入先別）の明細'!$L18,借入先別の明細作成BD!J$7:J$38)=0,"-",SUMIF(借入先別の明細作成BD!$D$7:$D$38,'〇附属明細書_地方債等（借入先別）の明細'!$L18,借入先別の明細作成BD!J$7:J$38)*1000)</f>
        <v>518464000</v>
      </c>
      <c r="F18" s="43">
        <f>IF(SUMIF(借入先別の明細作成BD!$D$7:$D$38,'〇附属明細書_地方債等（借入先別）の明細'!$L18,借入先別の明細作成BD!K$7:K$38)=0,"-",SUMIF(借入先別の明細作成BD!$D$7:$D$38,'〇附属明細書_地方債等（借入先別）の明細'!$L18,借入先別の明細作成BD!K$7:K$38)*1000)</f>
        <v>113152000</v>
      </c>
      <c r="G18" s="43">
        <f>IF(SUMIF(借入先別の明細作成BD!$D$7:$D$38,'〇附属明細書_地方債等（借入先別）の明細'!$L18,借入先別の明細作成BD!L$7:L$38)=0,"-",SUMIF(借入先別の明細作成BD!$D$7:$D$38,'〇附属明細書_地方債等（借入先別）の明細'!$L18,借入先別の明細作成BD!L$7:L$38)*1000)</f>
        <v>44579000</v>
      </c>
      <c r="H18" s="43" t="str">
        <f>IF(SUMIF(借入先別の明細作成BD!$D$7:$D$38,'〇附属明細書_地方債等（借入先別）の明細'!$L18,借入先別の明細作成BD!M$7:M$38)=0,"-",SUMIF(借入先別の明細作成BD!$D$7:$D$38,'〇附属明細書_地方債等（借入先別）の明細'!$L18,借入先別の明細作成BD!M$7:M$38)*1000)</f>
        <v>-</v>
      </c>
      <c r="I18" s="43" t="s">
        <v>196</v>
      </c>
      <c r="J18" s="43" t="s">
        <v>196</v>
      </c>
      <c r="K18" s="43">
        <f>IF(SUMIF(借入先別の明細作成BD!$D$7:$D$38,'〇附属明細書_地方債等（借入先別）の明細'!$L18,借入先別の明細作成BD!N$7:N$38)=0,"-",SUMIF(借入先別の明細作成BD!$D$7:$D$38,'〇附属明細書_地方債等（借入先別）の明細'!$L18,借入先別の明細作成BD!N$7:N$38)*1000)</f>
        <v>326453000</v>
      </c>
      <c r="L18" s="39" t="s">
        <v>264</v>
      </c>
      <c r="M18" s="39">
        <f t="shared" si="1"/>
        <v>0</v>
      </c>
    </row>
    <row r="19" spans="1:13" ht="18" customHeight="1">
      <c r="A19" s="41" t="s">
        <v>43</v>
      </c>
      <c r="B19" s="29">
        <f>SUM(B7:B18)</f>
        <v>19403574333</v>
      </c>
      <c r="C19" s="44">
        <f>SUM(C7:C18)</f>
        <v>1856636315</v>
      </c>
      <c r="D19" s="43">
        <f>IF(SUM(D7:D18)&gt;1,SUM(D7:D18),"-")</f>
        <v>6973153332.999999</v>
      </c>
      <c r="E19" s="43">
        <f t="shared" ref="E19:K19" si="2">IF(SUM(E7:E18)&gt;1,SUM(E7:E18),"-")</f>
        <v>6427707000</v>
      </c>
      <c r="F19" s="43">
        <f t="shared" si="2"/>
        <v>1402818000</v>
      </c>
      <c r="G19" s="43">
        <f>IF(SUM(G7:G18)&gt;1,SUM(G7:G18),"-")</f>
        <v>552670000</v>
      </c>
      <c r="H19" s="43" t="str">
        <f t="shared" si="2"/>
        <v>-</v>
      </c>
      <c r="I19" s="43" t="s">
        <v>196</v>
      </c>
      <c r="J19" s="43" t="s">
        <v>196</v>
      </c>
      <c r="K19" s="43">
        <f t="shared" si="2"/>
        <v>4047226000</v>
      </c>
    </row>
    <row r="20" spans="1:13">
      <c r="A20" s="103" t="s">
        <v>278</v>
      </c>
      <c r="B20" s="39" t="b">
        <f>(借入先別の明細作成BD!O4+借入先別の明細作成BD!P39)='〇附属明細書_地方債等（借入先別）の明細'!B19</f>
        <v>1</v>
      </c>
      <c r="C20" s="39" t="b">
        <f>C19=(借入先別の明細作成BD!P39)</f>
        <v>1</v>
      </c>
      <c r="D20" s="39" t="b">
        <f>D19=((借入先別の明細作成BD!I39)*1000)+借入先別の明細作成BD!O39</f>
        <v>1</v>
      </c>
      <c r="E20" s="39" t="b">
        <f>E19=(借入先別の明細作成BD!J39)*1000</f>
        <v>1</v>
      </c>
      <c r="F20" s="39" t="b">
        <f>F19=(借入先別の明細作成BD!K39)*1000</f>
        <v>1</v>
      </c>
      <c r="G20" s="39" t="b">
        <f>G19=(借入先別の明細作成BD!L39)*1000</f>
        <v>1</v>
      </c>
      <c r="H20" s="39" t="b">
        <f>H19=(借入先別の明細作成BD!M39)*1000</f>
        <v>0</v>
      </c>
      <c r="I20" s="39" t="s">
        <v>271</v>
      </c>
      <c r="J20" s="39" t="s">
        <v>271</v>
      </c>
      <c r="K20" s="39" t="b">
        <f>K19=(借入先別の明細作成BD!N39)*1000</f>
        <v>1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4"/>
  <pageMargins left="0.39370078740157483" right="0.39370078740157483" top="0.39370078740157483" bottom="0.39370078740157483" header="0.19685039370078741" footer="0.19685039370078741"/>
  <pageSetup paperSize="9" scale="82" fitToHeight="0" orientation="landscape" cellComments="asDisplayed" r:id="rId1"/>
  <headerFooter>
    <oddHeader>&amp;R&amp;9&amp;D</oddHeader>
    <oddFooter>&amp;C&amp;9&amp;P/&amp;N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12</vt:i4>
      </vt:variant>
    </vt:vector>
  </HeadingPairs>
  <TitlesOfParts>
    <vt:vector baseType="lpstr" size="29">
      <vt:lpstr>〇有形固定資産の明細</vt:lpstr>
      <vt:lpstr>〇有形固定資産に係る行政目的別の明細</vt:lpstr>
      <vt:lpstr>〇投資及び出資金の明細</vt:lpstr>
      <vt:lpstr>〇基金の明細</vt:lpstr>
      <vt:lpstr>〇貸付金の明細</vt:lpstr>
      <vt:lpstr>〇長期延滞債権の明細</vt:lpstr>
      <vt:lpstr>〇未収金の明細</vt:lpstr>
      <vt:lpstr>〇引当金の明細</vt:lpstr>
      <vt:lpstr>〇附属明細書_地方債等（借入先別）の明細</vt:lpstr>
      <vt:lpstr>借入先別の明細作成BD</vt:lpstr>
      <vt:lpstr>〇地方債等（利率別）の明細</vt:lpstr>
      <vt:lpstr>〇地方債等（返済期間別）の明細</vt:lpstr>
      <vt:lpstr>〇特定の契約情報が付された地方債等の概要</vt:lpstr>
      <vt:lpstr>〇補助金等の明細</vt:lpstr>
      <vt:lpstr>〇財源情報の明細</vt:lpstr>
      <vt:lpstr>〇財源の明細</vt:lpstr>
      <vt:lpstr>〇資金の明細</vt:lpstr>
      <vt:lpstr>〇財源の明細!Print_Area</vt:lpstr>
      <vt:lpstr>〇財源情報の明細!Print_Area</vt:lpstr>
      <vt:lpstr>〇貸付金の明細!Print_Area</vt:lpstr>
      <vt:lpstr>'〇地方債等（返済期間別）の明細'!Print_Area</vt:lpstr>
      <vt:lpstr>'〇地方債等（利率別）の明細'!Print_Area</vt:lpstr>
      <vt:lpstr>〇長期延滞債権の明細!Print_Area</vt:lpstr>
      <vt:lpstr>〇投資及び出資金の明細!Print_Area</vt:lpstr>
      <vt:lpstr>'〇附属明細書_地方債等（借入先別）の明細'!Print_Area</vt:lpstr>
      <vt:lpstr>〇補助金等の明細!Print_Area</vt:lpstr>
      <vt:lpstr>〇未収金の明細!Print_Area</vt:lpstr>
      <vt:lpstr>〇有形固定資産に係る行政目的別の明細!Print_Titles</vt:lpstr>
      <vt:lpstr>〇有形固定資産の明細!Print_Titles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2026-04-08T03:01:25Z</cp:lastPrinted>
  <dcterms:created xsi:type="dcterms:W3CDTF">2017-03-18T04:25:50Z</dcterms:created>
  <dcterms:modified xsi:type="dcterms:W3CDTF">2026-04-08T03:01:46Z</dcterms:modified>
</cp:coreProperties>
</file>